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235CD690-54DC-4351-A08D-B6EA5323132C}" xr6:coauthVersionLast="47" xr6:coauthVersionMax="47" xr10:uidLastSave="{00000000-0000-0000-0000-000000000000}"/>
  <workbookProtection workbookAlgorithmName="SHA-512" workbookHashValue="RZyPN1VQ/l/1pgikjS6yGQzR5h4v39jGEWsFEiv0d90ww5avWUGydqNt+SqFWZIbP7vUUCEa633nd15iurtFIg==" workbookSaltValue="qizKMNIlQS2OzJ+WNCVNUw==" workbookSpinCount="100000" lockStructure="1"/>
  <bookViews>
    <workbookView xWindow="-120" yWindow="-120" windowWidth="29040" windowHeight="15840" xr2:uid="{5F939F0E-B7C8-4EE0-A5CF-22394BFDF32C}"/>
  </bookViews>
  <sheets>
    <sheet name="ZU 2024 po 5.ZR a RORM 1-174" sheetId="1" r:id="rId1"/>
  </sheets>
  <definedNames>
    <definedName name="__DdeLink__9289_5144441" localSheetId="0">'ZU 2024 po 5.ZR a RORM 1-174'!#REF!</definedName>
    <definedName name="_xlnm.Print_Titles" localSheetId="0">'ZU 2024 po 5.ZR a RORM 1-174'!$1:$2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73" i="1" l="1"/>
  <c r="R266" i="1" s="1"/>
  <c r="R303" i="1"/>
  <c r="R8" i="1"/>
  <c r="R411" i="1"/>
  <c r="R400" i="1"/>
  <c r="R396" i="1"/>
  <c r="R393" i="1"/>
  <c r="R395" i="1"/>
  <c r="R390" i="1"/>
  <c r="R381" i="1"/>
  <c r="R385" i="1"/>
  <c r="R374" i="1"/>
  <c r="R376" i="1"/>
  <c r="R368" i="1"/>
  <c r="R359" i="1"/>
  <c r="R355" i="1"/>
  <c r="R334" i="1"/>
  <c r="R330" i="1"/>
  <c r="R325" i="1"/>
  <c r="R327" i="1"/>
  <c r="R315" i="1"/>
  <c r="R310" i="1"/>
  <c r="R307" i="1"/>
  <c r="R300" i="1"/>
  <c r="R296" i="1"/>
  <c r="R299" i="1"/>
  <c r="R292" i="1"/>
  <c r="S275" i="1"/>
  <c r="S274" i="1"/>
  <c r="R275" i="1"/>
  <c r="R291" i="1"/>
  <c r="R262" i="1"/>
  <c r="R265" i="1"/>
  <c r="R208" i="1"/>
  <c r="R199" i="1"/>
  <c r="R185" i="1"/>
  <c r="R198" i="1"/>
  <c r="R187" i="1"/>
  <c r="S125" i="1"/>
  <c r="R125" i="1"/>
  <c r="R124" i="1"/>
  <c r="S124" i="1" s="1"/>
  <c r="R69" i="1"/>
  <c r="R64" i="1"/>
  <c r="R24" i="1"/>
  <c r="R62" i="1"/>
  <c r="R63" i="1"/>
  <c r="R52" i="1"/>
  <c r="R47" i="1"/>
  <c r="R20" i="1"/>
  <c r="R6" i="1"/>
  <c r="R304" i="1" l="1"/>
  <c r="R401" i="1" s="1"/>
  <c r="R412" i="1" s="1"/>
  <c r="R60" i="1"/>
  <c r="R9" i="1"/>
  <c r="R21" i="1" s="1"/>
  <c r="S243" i="1"/>
  <c r="S136" i="1"/>
  <c r="S118" i="1"/>
  <c r="S94" i="1"/>
  <c r="S89" i="1"/>
  <c r="Q303" i="1"/>
  <c r="Q207" i="1"/>
  <c r="Q56" i="1"/>
  <c r="P385" i="1"/>
  <c r="P381" i="1" s="1"/>
  <c r="P376" i="1"/>
  <c r="P374" i="1" s="1"/>
  <c r="P357" i="1"/>
  <c r="P355" i="1" s="1"/>
  <c r="P317" i="1"/>
  <c r="P318" i="1"/>
  <c r="P295" i="1"/>
  <c r="P292" i="1" s="1"/>
  <c r="P291" i="1"/>
  <c r="P265" i="1"/>
  <c r="P262" i="1" s="1"/>
  <c r="P201" i="1"/>
  <c r="P207" i="1"/>
  <c r="P198" i="1"/>
  <c r="P187" i="1"/>
  <c r="P121" i="1"/>
  <c r="S121" i="1" s="1"/>
  <c r="P120" i="1"/>
  <c r="S120" i="1" s="1"/>
  <c r="P89" i="1"/>
  <c r="P88" i="1"/>
  <c r="S88" i="1" s="1"/>
  <c r="P62" i="1"/>
  <c r="P49" i="1"/>
  <c r="P8" i="1"/>
  <c r="P6" i="1"/>
  <c r="Q17" i="1"/>
  <c r="Q15" i="1"/>
  <c r="Q409" i="1"/>
  <c r="Q408" i="1"/>
  <c r="Q396" i="1"/>
  <c r="Q395" i="1"/>
  <c r="Q393" i="1" s="1"/>
  <c r="Q390" i="1"/>
  <c r="Q386" i="1"/>
  <c r="Q384" i="1"/>
  <c r="Q376" i="1"/>
  <c r="Q374" i="1" s="1"/>
  <c r="Q368" i="1"/>
  <c r="Q364" i="1"/>
  <c r="Q363" i="1"/>
  <c r="Q365" i="1"/>
  <c r="Q361" i="1"/>
  <c r="Q357" i="1"/>
  <c r="Q355" i="1" s="1"/>
  <c r="Q336" i="1"/>
  <c r="Q334" i="1" s="1"/>
  <c r="Q330" i="1"/>
  <c r="Q329" i="1"/>
  <c r="Q327" i="1"/>
  <c r="Q325" i="1" s="1"/>
  <c r="Q323" i="1"/>
  <c r="Q322" i="1"/>
  <c r="Q310" i="1"/>
  <c r="Q307" i="1"/>
  <c r="Q300" i="1"/>
  <c r="Q299" i="1"/>
  <c r="Q296" i="1" s="1"/>
  <c r="Q295" i="1"/>
  <c r="Q292" i="1" s="1"/>
  <c r="Q285" i="1"/>
  <c r="S285" i="1" s="1"/>
  <c r="Q291" i="1"/>
  <c r="Q279" i="1"/>
  <c r="Q274" i="1"/>
  <c r="Q286" i="1"/>
  <c r="Q262" i="1"/>
  <c r="Q217" i="1"/>
  <c r="Q221" i="1"/>
  <c r="Q261" i="1"/>
  <c r="Q202" i="1"/>
  <c r="Q197" i="1"/>
  <c r="Q198" i="1"/>
  <c r="Q187" i="1"/>
  <c r="Q184" i="1"/>
  <c r="Q149" i="1"/>
  <c r="Q123" i="1"/>
  <c r="Q133" i="1"/>
  <c r="Q128" i="1"/>
  <c r="Q90" i="1"/>
  <c r="Q71" i="1"/>
  <c r="Q64" i="1"/>
  <c r="Q63" i="1"/>
  <c r="Q62" i="1"/>
  <c r="Q58" i="1"/>
  <c r="Q51" i="1"/>
  <c r="Q47" i="1" s="1"/>
  <c r="Q24" i="1"/>
  <c r="Q8" i="1"/>
  <c r="Q7" i="1"/>
  <c r="Q6" i="1"/>
  <c r="Q5" i="1"/>
  <c r="P303" i="1"/>
  <c r="P302" i="1"/>
  <c r="P327" i="1"/>
  <c r="P319" i="1"/>
  <c r="P261" i="1"/>
  <c r="P258" i="1"/>
  <c r="S258" i="1" s="1"/>
  <c r="P184" i="1"/>
  <c r="P106" i="1"/>
  <c r="S106" i="1" s="1"/>
  <c r="P104" i="1"/>
  <c r="S104" i="1" s="1"/>
  <c r="P63" i="1"/>
  <c r="P46" i="1"/>
  <c r="P361" i="1"/>
  <c r="P359" i="1" s="1"/>
  <c r="P273" i="1"/>
  <c r="S273" i="1" s="1"/>
  <c r="P224" i="1"/>
  <c r="P220" i="1"/>
  <c r="P222" i="1"/>
  <c r="P218" i="1"/>
  <c r="P215" i="1"/>
  <c r="P51" i="1"/>
  <c r="P411" i="1"/>
  <c r="P396" i="1"/>
  <c r="P395" i="1"/>
  <c r="P393" i="1" s="1"/>
  <c r="P390" i="1"/>
  <c r="P368" i="1"/>
  <c r="P336" i="1"/>
  <c r="P334" i="1" s="1"/>
  <c r="P330" i="1"/>
  <c r="P329" i="1"/>
  <c r="P310" i="1"/>
  <c r="P307" i="1"/>
  <c r="O296" i="1"/>
  <c r="P299" i="1"/>
  <c r="P296" i="1" s="1"/>
  <c r="P234" i="1"/>
  <c r="S234" i="1" s="1"/>
  <c r="P118" i="1"/>
  <c r="P94" i="1"/>
  <c r="P92" i="1"/>
  <c r="S92" i="1" s="1"/>
  <c r="P71" i="1"/>
  <c r="P64" i="1"/>
  <c r="P52" i="1"/>
  <c r="P32" i="1"/>
  <c r="P39" i="1"/>
  <c r="P20" i="1"/>
  <c r="O411" i="1"/>
  <c r="O396" i="1"/>
  <c r="O393" i="1"/>
  <c r="O390" i="1"/>
  <c r="O381" i="1"/>
  <c r="O374" i="1"/>
  <c r="O368" i="1"/>
  <c r="O359" i="1"/>
  <c r="O355" i="1"/>
  <c r="O334" i="1"/>
  <c r="O330" i="1"/>
  <c r="O325" i="1"/>
  <c r="O315" i="1"/>
  <c r="O310" i="1"/>
  <c r="O307" i="1"/>
  <c r="O262" i="1"/>
  <c r="O292" i="1"/>
  <c r="O266" i="1"/>
  <c r="O208" i="1"/>
  <c r="O199" i="1"/>
  <c r="O185" i="1"/>
  <c r="O69" i="1"/>
  <c r="O64" i="1"/>
  <c r="O60" i="1"/>
  <c r="O24" i="1"/>
  <c r="O20" i="1"/>
  <c r="O9" i="1"/>
  <c r="O300" i="1"/>
  <c r="O47" i="1"/>
  <c r="O52" i="1"/>
  <c r="M357" i="1"/>
  <c r="M327" i="1"/>
  <c r="M325" i="1" s="1"/>
  <c r="M317" i="1"/>
  <c r="M318" i="1"/>
  <c r="M303" i="1"/>
  <c r="M300" i="1" s="1"/>
  <c r="M184" i="1"/>
  <c r="M98" i="1"/>
  <c r="M96" i="1"/>
  <c r="M62" i="1"/>
  <c r="M60" i="1" s="1"/>
  <c r="M46" i="1"/>
  <c r="M30" i="1"/>
  <c r="N30" i="1" s="1"/>
  <c r="S30" i="1" s="1"/>
  <c r="M42" i="1"/>
  <c r="M8" i="1"/>
  <c r="M6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395" i="1"/>
  <c r="M393" i="1" s="1"/>
  <c r="M299" i="1"/>
  <c r="M296" i="1" s="1"/>
  <c r="M265" i="1"/>
  <c r="M262" i="1" s="1"/>
  <c r="M376" i="1"/>
  <c r="M239" i="1"/>
  <c r="M136" i="1"/>
  <c r="N136" i="1" s="1"/>
  <c r="M131" i="1"/>
  <c r="N131" i="1" s="1"/>
  <c r="S131" i="1" s="1"/>
  <c r="M86" i="1"/>
  <c r="N86" i="1" s="1"/>
  <c r="S86" i="1" s="1"/>
  <c r="M84" i="1"/>
  <c r="N84" i="1" s="1"/>
  <c r="S84" i="1" s="1"/>
  <c r="M81" i="1"/>
  <c r="N81" i="1" s="1"/>
  <c r="S81" i="1" s="1"/>
  <c r="M79" i="1"/>
  <c r="N79" i="1" s="1"/>
  <c r="S79" i="1" s="1"/>
  <c r="K180" i="1"/>
  <c r="N180" i="1" s="1"/>
  <c r="S180" i="1" s="1"/>
  <c r="K140" i="1"/>
  <c r="N140" i="1" s="1"/>
  <c r="S140" i="1" s="1"/>
  <c r="L59" i="1"/>
  <c r="L6" i="1"/>
  <c r="M411" i="1"/>
  <c r="M396" i="1"/>
  <c r="M390" i="1"/>
  <c r="M384" i="1"/>
  <c r="M381" i="1" s="1"/>
  <c r="M377" i="1"/>
  <c r="M368" i="1"/>
  <c r="M359" i="1"/>
  <c r="M355" i="1"/>
  <c r="M354" i="1"/>
  <c r="M336" i="1"/>
  <c r="M330" i="1"/>
  <c r="M310" i="1"/>
  <c r="M307" i="1"/>
  <c r="M292" i="1"/>
  <c r="M291" i="1"/>
  <c r="M266" i="1" s="1"/>
  <c r="M259" i="1"/>
  <c r="N259" i="1" s="1"/>
  <c r="S259" i="1" s="1"/>
  <c r="M256" i="1"/>
  <c r="N256" i="1" s="1"/>
  <c r="S256" i="1" s="1"/>
  <c r="M257" i="1"/>
  <c r="N257" i="1" s="1"/>
  <c r="S257" i="1" s="1"/>
  <c r="M261" i="1"/>
  <c r="M199" i="1"/>
  <c r="M185" i="1"/>
  <c r="M64" i="1"/>
  <c r="M52" i="1"/>
  <c r="M51" i="1"/>
  <c r="M47" i="1" s="1"/>
  <c r="M20" i="1"/>
  <c r="L327" i="1"/>
  <c r="L357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84" i="1"/>
  <c r="L142" i="1"/>
  <c r="L132" i="1"/>
  <c r="L130" i="1"/>
  <c r="L133" i="1"/>
  <c r="L129" i="1"/>
  <c r="L128" i="1"/>
  <c r="L127" i="1"/>
  <c r="L123" i="1"/>
  <c r="L122" i="1"/>
  <c r="L117" i="1"/>
  <c r="L116" i="1"/>
  <c r="L100" i="1"/>
  <c r="L108" i="1"/>
  <c r="P315" i="1" l="1"/>
  <c r="Q52" i="1"/>
  <c r="P266" i="1"/>
  <c r="Q411" i="1"/>
  <c r="Q381" i="1"/>
  <c r="P185" i="1"/>
  <c r="Q199" i="1"/>
  <c r="Q208" i="1"/>
  <c r="Q359" i="1"/>
  <c r="Q315" i="1"/>
  <c r="Q69" i="1"/>
  <c r="Q266" i="1"/>
  <c r="Q20" i="1"/>
  <c r="Q9" i="1"/>
  <c r="Q60" i="1"/>
  <c r="Q185" i="1"/>
  <c r="P300" i="1"/>
  <c r="P325" i="1"/>
  <c r="P400" i="1" s="1"/>
  <c r="P208" i="1"/>
  <c r="P199" i="1"/>
  <c r="P47" i="1"/>
  <c r="P24" i="1"/>
  <c r="O400" i="1"/>
  <c r="O21" i="1"/>
  <c r="P60" i="1"/>
  <c r="P9" i="1"/>
  <c r="P21" i="1" s="1"/>
  <c r="P69" i="1"/>
  <c r="O304" i="1"/>
  <c r="M315" i="1"/>
  <c r="M374" i="1"/>
  <c r="M24" i="1"/>
  <c r="M208" i="1"/>
  <c r="N42" i="1"/>
  <c r="S42" i="1" s="1"/>
  <c r="M9" i="1"/>
  <c r="M21" i="1" s="1"/>
  <c r="N239" i="1"/>
  <c r="S239" i="1" s="1"/>
  <c r="M69" i="1"/>
  <c r="M334" i="1"/>
  <c r="L340" i="1"/>
  <c r="L339" i="1"/>
  <c r="L411" i="1"/>
  <c r="L396" i="1"/>
  <c r="L393" i="1"/>
  <c r="L390" i="1"/>
  <c r="L381" i="1"/>
  <c r="L372" i="1"/>
  <c r="N372" i="1" s="1"/>
  <c r="S372" i="1" s="1"/>
  <c r="L371" i="1"/>
  <c r="L378" i="1"/>
  <c r="L374" i="1" s="1"/>
  <c r="L361" i="1"/>
  <c r="L364" i="1"/>
  <c r="L363" i="1"/>
  <c r="L355" i="1"/>
  <c r="L330" i="1"/>
  <c r="L329" i="1"/>
  <c r="L325" i="1" s="1"/>
  <c r="L315" i="1"/>
  <c r="L310" i="1"/>
  <c r="L307" i="1"/>
  <c r="L300" i="1"/>
  <c r="L296" i="1"/>
  <c r="L292" i="1"/>
  <c r="L291" i="1"/>
  <c r="L270" i="1"/>
  <c r="L268" i="1"/>
  <c r="L269" i="1"/>
  <c r="L262" i="1"/>
  <c r="L261" i="1"/>
  <c r="L241" i="1"/>
  <c r="L223" i="1"/>
  <c r="L212" i="1"/>
  <c r="L207" i="1"/>
  <c r="L203" i="1"/>
  <c r="L202" i="1"/>
  <c r="L198" i="1"/>
  <c r="L185" i="1" s="1"/>
  <c r="L69" i="1"/>
  <c r="L64" i="1"/>
  <c r="L63" i="1"/>
  <c r="L62" i="1"/>
  <c r="L56" i="1"/>
  <c r="L47" i="1"/>
  <c r="L46" i="1"/>
  <c r="L24" i="1" s="1"/>
  <c r="L20" i="1"/>
  <c r="L8" i="1"/>
  <c r="L7" i="1"/>
  <c r="L5" i="1"/>
  <c r="J184" i="1"/>
  <c r="J71" i="1"/>
  <c r="J80" i="1"/>
  <c r="J78" i="1"/>
  <c r="J105" i="1"/>
  <c r="J103" i="1"/>
  <c r="J98" i="1"/>
  <c r="J96" i="1"/>
  <c r="J111" i="1"/>
  <c r="J109" i="1"/>
  <c r="J85" i="1"/>
  <c r="J83" i="1"/>
  <c r="J93" i="1"/>
  <c r="J91" i="1"/>
  <c r="J126" i="1"/>
  <c r="K126" i="1" s="1"/>
  <c r="N126" i="1" s="1"/>
  <c r="S126" i="1" s="1"/>
  <c r="J112" i="1"/>
  <c r="K112" i="1" s="1"/>
  <c r="N112" i="1" s="1"/>
  <c r="S112" i="1" s="1"/>
  <c r="J110" i="1"/>
  <c r="K110" i="1" s="1"/>
  <c r="N110" i="1" s="1"/>
  <c r="S110" i="1" s="1"/>
  <c r="J99" i="1"/>
  <c r="K99" i="1" s="1"/>
  <c r="N99" i="1" s="1"/>
  <c r="S99" i="1" s="1"/>
  <c r="J97" i="1"/>
  <c r="K97" i="1" s="1"/>
  <c r="N97" i="1" s="1"/>
  <c r="S97" i="1" s="1"/>
  <c r="Q21" i="1" l="1"/>
  <c r="Q400" i="1"/>
  <c r="Q304" i="1"/>
  <c r="P304" i="1"/>
  <c r="P401" i="1" s="1"/>
  <c r="P412" i="1" s="1"/>
  <c r="O401" i="1"/>
  <c r="O412" i="1" s="1"/>
  <c r="M400" i="1"/>
  <c r="M304" i="1"/>
  <c r="L334" i="1"/>
  <c r="L9" i="1"/>
  <c r="L368" i="1"/>
  <c r="N371" i="1"/>
  <c r="S371" i="1" s="1"/>
  <c r="L52" i="1"/>
  <c r="L208" i="1"/>
  <c r="L266" i="1"/>
  <c r="L60" i="1"/>
  <c r="L359" i="1"/>
  <c r="L199" i="1"/>
  <c r="J384" i="1"/>
  <c r="J336" i="1"/>
  <c r="J327" i="1"/>
  <c r="J299" i="1"/>
  <c r="J291" i="1"/>
  <c r="J286" i="1"/>
  <c r="J62" i="1"/>
  <c r="J63" i="1"/>
  <c r="J51" i="1"/>
  <c r="J8" i="1"/>
  <c r="J6" i="1"/>
  <c r="J376" i="1"/>
  <c r="J265" i="1"/>
  <c r="J295" i="1"/>
  <c r="J385" i="1"/>
  <c r="J272" i="1"/>
  <c r="K272" i="1" s="1"/>
  <c r="N272" i="1" s="1"/>
  <c r="S272" i="1" s="1"/>
  <c r="J290" i="1"/>
  <c r="K290" i="1" s="1"/>
  <c r="N290" i="1" s="1"/>
  <c r="S290" i="1" s="1"/>
  <c r="J289" i="1"/>
  <c r="K289" i="1" s="1"/>
  <c r="N289" i="1" s="1"/>
  <c r="S289" i="1" s="1"/>
  <c r="J288" i="1"/>
  <c r="J287" i="1"/>
  <c r="K287" i="1" s="1"/>
  <c r="N287" i="1" s="1"/>
  <c r="S287" i="1" s="1"/>
  <c r="C262" i="1"/>
  <c r="I262" i="1"/>
  <c r="J264" i="1"/>
  <c r="J261" i="1"/>
  <c r="J187" i="1"/>
  <c r="J357" i="1"/>
  <c r="J320" i="1"/>
  <c r="J46" i="1"/>
  <c r="J28" i="1"/>
  <c r="K28" i="1" s="1"/>
  <c r="N28" i="1" s="1"/>
  <c r="S28" i="1" s="1"/>
  <c r="J29" i="1"/>
  <c r="K29" i="1" s="1"/>
  <c r="N29" i="1" s="1"/>
  <c r="S29" i="1" s="1"/>
  <c r="J20" i="1"/>
  <c r="I20" i="1"/>
  <c r="C20" i="1"/>
  <c r="I9" i="1"/>
  <c r="C9" i="1"/>
  <c r="Q401" i="1" l="1"/>
  <c r="Q412" i="1" s="1"/>
  <c r="M401" i="1"/>
  <c r="M412" i="1" s="1"/>
  <c r="L400" i="1"/>
  <c r="L21" i="1"/>
  <c r="L304" i="1"/>
  <c r="J266" i="1"/>
  <c r="K288" i="1"/>
  <c r="N288" i="1" s="1"/>
  <c r="S288" i="1" s="1"/>
  <c r="K264" i="1"/>
  <c r="N264" i="1" s="1"/>
  <c r="S264" i="1" s="1"/>
  <c r="I396" i="1"/>
  <c r="I393" i="1"/>
  <c r="I390" i="1"/>
  <c r="I381" i="1"/>
  <c r="I374" i="1"/>
  <c r="I368" i="1"/>
  <c r="I359" i="1"/>
  <c r="I355" i="1"/>
  <c r="I334" i="1"/>
  <c r="I330" i="1"/>
  <c r="I325" i="1"/>
  <c r="I315" i="1"/>
  <c r="I310" i="1"/>
  <c r="I307" i="1"/>
  <c r="I300" i="1"/>
  <c r="I296" i="1"/>
  <c r="I292" i="1"/>
  <c r="I266" i="1"/>
  <c r="I208" i="1"/>
  <c r="I199" i="1"/>
  <c r="I185" i="1"/>
  <c r="I69" i="1"/>
  <c r="I64" i="1"/>
  <c r="I60" i="1"/>
  <c r="I52" i="1"/>
  <c r="I47" i="1"/>
  <c r="I24" i="1"/>
  <c r="I21" i="1"/>
  <c r="C300" i="1"/>
  <c r="C296" i="1"/>
  <c r="C292" i="1"/>
  <c r="C266" i="1"/>
  <c r="C208" i="1"/>
  <c r="C199" i="1"/>
  <c r="C185" i="1"/>
  <c r="C69" i="1"/>
  <c r="C64" i="1"/>
  <c r="C60" i="1"/>
  <c r="C52" i="1"/>
  <c r="C47" i="1"/>
  <c r="C24" i="1"/>
  <c r="J411" i="1"/>
  <c r="J398" i="1"/>
  <c r="J396" i="1" s="1"/>
  <c r="J393" i="1"/>
  <c r="J390" i="1"/>
  <c r="J381" i="1"/>
  <c r="J374" i="1"/>
  <c r="J368" i="1"/>
  <c r="J359" i="1"/>
  <c r="J355" i="1"/>
  <c r="J353" i="1"/>
  <c r="K353" i="1" s="1"/>
  <c r="N353" i="1" s="1"/>
  <c r="S353" i="1" s="1"/>
  <c r="J330" i="1"/>
  <c r="J325" i="1"/>
  <c r="J317" i="1"/>
  <c r="J318" i="1"/>
  <c r="J310" i="1"/>
  <c r="J307" i="1"/>
  <c r="J303" i="1"/>
  <c r="J300" i="1" s="1"/>
  <c r="J298" i="1"/>
  <c r="J296" i="1" s="1"/>
  <c r="J292" i="1"/>
  <c r="J262" i="1"/>
  <c r="J227" i="1"/>
  <c r="K227" i="1" s="1"/>
  <c r="N227" i="1" s="1"/>
  <c r="S227" i="1" s="1"/>
  <c r="J253" i="1"/>
  <c r="K253" i="1" s="1"/>
  <c r="N253" i="1" s="1"/>
  <c r="S253" i="1" s="1"/>
  <c r="J199" i="1"/>
  <c r="J185" i="1"/>
  <c r="J146" i="1"/>
  <c r="K146" i="1" s="1"/>
  <c r="N146" i="1" s="1"/>
  <c r="S146" i="1" s="1"/>
  <c r="K147" i="1"/>
  <c r="N147" i="1" s="1"/>
  <c r="S147" i="1" s="1"/>
  <c r="J145" i="1"/>
  <c r="K145" i="1" s="1"/>
  <c r="N145" i="1" s="1"/>
  <c r="S145" i="1" s="1"/>
  <c r="J64" i="1"/>
  <c r="J52" i="1"/>
  <c r="J49" i="1"/>
  <c r="J47" i="1" s="1"/>
  <c r="J24" i="1"/>
  <c r="J9" i="1"/>
  <c r="K260" i="1"/>
  <c r="N260" i="1" s="1"/>
  <c r="S260" i="1" s="1"/>
  <c r="K328" i="1"/>
  <c r="N328" i="1" s="1"/>
  <c r="S328" i="1" s="1"/>
  <c r="K340" i="1"/>
  <c r="N340" i="1" s="1"/>
  <c r="S340" i="1" s="1"/>
  <c r="K345" i="1"/>
  <c r="N345" i="1" s="1"/>
  <c r="S345" i="1" s="1"/>
  <c r="K346" i="1"/>
  <c r="N346" i="1" s="1"/>
  <c r="S346" i="1" s="1"/>
  <c r="K366" i="1"/>
  <c r="N366" i="1" s="1"/>
  <c r="S366" i="1" s="1"/>
  <c r="K44" i="1"/>
  <c r="N44" i="1" s="1"/>
  <c r="S44" i="1" s="1"/>
  <c r="H143" i="1"/>
  <c r="K143" i="1" s="1"/>
  <c r="N143" i="1" s="1"/>
  <c r="S143" i="1" s="1"/>
  <c r="H26" i="1"/>
  <c r="K26" i="1" s="1"/>
  <c r="N26" i="1" s="1"/>
  <c r="S26" i="1" s="1"/>
  <c r="H39" i="1"/>
  <c r="K39" i="1" s="1"/>
  <c r="N39" i="1" s="1"/>
  <c r="S39" i="1" s="1"/>
  <c r="I411" i="1"/>
  <c r="L401" i="1" l="1"/>
  <c r="L412" i="1" s="1"/>
  <c r="J334" i="1"/>
  <c r="C304" i="1"/>
  <c r="I304" i="1"/>
  <c r="J208" i="1"/>
  <c r="J315" i="1"/>
  <c r="J69" i="1"/>
  <c r="J21" i="1"/>
  <c r="J60" i="1"/>
  <c r="I400" i="1"/>
  <c r="G327" i="1"/>
  <c r="G325" i="1" s="1"/>
  <c r="G247" i="1"/>
  <c r="H247" i="1" s="1"/>
  <c r="K247" i="1" s="1"/>
  <c r="N247" i="1" s="1"/>
  <c r="S247" i="1" s="1"/>
  <c r="G261" i="1"/>
  <c r="G246" i="1"/>
  <c r="H246" i="1" s="1"/>
  <c r="K246" i="1" s="1"/>
  <c r="N246" i="1" s="1"/>
  <c r="S246" i="1" s="1"/>
  <c r="G71" i="1"/>
  <c r="G184" i="1"/>
  <c r="G144" i="1"/>
  <c r="H144" i="1" s="1"/>
  <c r="K144" i="1" s="1"/>
  <c r="N144" i="1" s="1"/>
  <c r="S144" i="1" s="1"/>
  <c r="G62" i="1"/>
  <c r="G63" i="1"/>
  <c r="G43" i="1"/>
  <c r="H43" i="1" s="1"/>
  <c r="K43" i="1" s="1"/>
  <c r="N43" i="1" s="1"/>
  <c r="S43" i="1" s="1"/>
  <c r="G41" i="1"/>
  <c r="H41" i="1" s="1"/>
  <c r="K41" i="1" s="1"/>
  <c r="N41" i="1" s="1"/>
  <c r="S41" i="1" s="1"/>
  <c r="G46" i="1"/>
  <c r="G8" i="1"/>
  <c r="G6" i="1"/>
  <c r="G224" i="1"/>
  <c r="H224" i="1" s="1"/>
  <c r="K224" i="1" s="1"/>
  <c r="N224" i="1" s="1"/>
  <c r="S224" i="1" s="1"/>
  <c r="G218" i="1"/>
  <c r="H218" i="1" s="1"/>
  <c r="K218" i="1" s="1"/>
  <c r="N218" i="1" s="1"/>
  <c r="S218" i="1" s="1"/>
  <c r="G220" i="1"/>
  <c r="H220" i="1" s="1"/>
  <c r="K220" i="1" s="1"/>
  <c r="N220" i="1" s="1"/>
  <c r="S220" i="1" s="1"/>
  <c r="G222" i="1"/>
  <c r="H222" i="1" s="1"/>
  <c r="K222" i="1" s="1"/>
  <c r="N222" i="1" s="1"/>
  <c r="S222" i="1" s="1"/>
  <c r="G215" i="1"/>
  <c r="H215" i="1" s="1"/>
  <c r="K215" i="1" s="1"/>
  <c r="N215" i="1" s="1"/>
  <c r="S215" i="1" s="1"/>
  <c r="G395" i="1"/>
  <c r="G393" i="1" s="1"/>
  <c r="G376" i="1"/>
  <c r="G323" i="1"/>
  <c r="G315" i="1" s="1"/>
  <c r="G303" i="1"/>
  <c r="G300" i="1" s="1"/>
  <c r="G265" i="1"/>
  <c r="G262" i="1" s="1"/>
  <c r="G201" i="1"/>
  <c r="G199" i="1" s="1"/>
  <c r="G187" i="1"/>
  <c r="G185" i="1" s="1"/>
  <c r="G32" i="1"/>
  <c r="H32" i="1" s="1"/>
  <c r="K32" i="1" s="1"/>
  <c r="N32" i="1" s="1"/>
  <c r="S32" i="1" s="1"/>
  <c r="G35" i="1"/>
  <c r="H35" i="1" s="1"/>
  <c r="K35" i="1" s="1"/>
  <c r="N35" i="1" s="1"/>
  <c r="S35" i="1" s="1"/>
  <c r="G378" i="1"/>
  <c r="G245" i="1"/>
  <c r="G139" i="1"/>
  <c r="H139" i="1" s="1"/>
  <c r="K139" i="1" s="1"/>
  <c r="N139" i="1" s="1"/>
  <c r="S139" i="1" s="1"/>
  <c r="G36" i="1"/>
  <c r="H36" i="1" s="1"/>
  <c r="K36" i="1" s="1"/>
  <c r="N36" i="1" s="1"/>
  <c r="S36" i="1" s="1"/>
  <c r="G34" i="1"/>
  <c r="H34" i="1" s="1"/>
  <c r="K34" i="1" s="1"/>
  <c r="N34" i="1" s="1"/>
  <c r="S34" i="1" s="1"/>
  <c r="G72" i="1"/>
  <c r="H72" i="1" s="1"/>
  <c r="K72" i="1" s="1"/>
  <c r="N72" i="1" s="1"/>
  <c r="S72" i="1" s="1"/>
  <c r="G298" i="1"/>
  <c r="G296" i="1" s="1"/>
  <c r="G49" i="1"/>
  <c r="G47" i="1" s="1"/>
  <c r="G37" i="1"/>
  <c r="G20" i="1"/>
  <c r="G7" i="1"/>
  <c r="G5" i="1"/>
  <c r="C21" i="1"/>
  <c r="G411" i="1"/>
  <c r="G396" i="1"/>
  <c r="G390" i="1"/>
  <c r="G381" i="1"/>
  <c r="G368" i="1"/>
  <c r="G359" i="1"/>
  <c r="G355" i="1"/>
  <c r="G334" i="1"/>
  <c r="G330" i="1"/>
  <c r="G310" i="1"/>
  <c r="G307" i="1"/>
  <c r="G292" i="1"/>
  <c r="G266" i="1"/>
  <c r="G64" i="1"/>
  <c r="G52" i="1"/>
  <c r="J400" i="1" l="1"/>
  <c r="J304" i="1"/>
  <c r="I401" i="1"/>
  <c r="I412" i="1" s="1"/>
  <c r="G374" i="1"/>
  <c r="G400" i="1" s="1"/>
  <c r="G208" i="1"/>
  <c r="H245" i="1"/>
  <c r="K245" i="1" s="1"/>
  <c r="N245" i="1" s="1"/>
  <c r="S245" i="1" s="1"/>
  <c r="G24" i="1"/>
  <c r="G69" i="1"/>
  <c r="H37" i="1"/>
  <c r="K37" i="1" s="1"/>
  <c r="N37" i="1" s="1"/>
  <c r="S37" i="1" s="1"/>
  <c r="G60" i="1"/>
  <c r="G9" i="1"/>
  <c r="G21" i="1" s="1"/>
  <c r="D376" i="1"/>
  <c r="D361" i="1"/>
  <c r="D327" i="1"/>
  <c r="D319" i="1"/>
  <c r="D294" i="1"/>
  <c r="D265" i="1"/>
  <c r="D225" i="1"/>
  <c r="F225" i="1" s="1"/>
  <c r="H225" i="1" s="1"/>
  <c r="K225" i="1" s="1"/>
  <c r="N225" i="1" s="1"/>
  <c r="S225" i="1" s="1"/>
  <c r="D261" i="1"/>
  <c r="D187" i="1"/>
  <c r="D184" i="1"/>
  <c r="D135" i="1"/>
  <c r="D134" i="1"/>
  <c r="D111" i="1"/>
  <c r="F111" i="1" s="1"/>
  <c r="H111" i="1" s="1"/>
  <c r="K111" i="1" s="1"/>
  <c r="N111" i="1" s="1"/>
  <c r="S111" i="1" s="1"/>
  <c r="D109" i="1"/>
  <c r="F109" i="1" s="1"/>
  <c r="H109" i="1" s="1"/>
  <c r="K109" i="1" s="1"/>
  <c r="N109" i="1" s="1"/>
  <c r="S109" i="1" s="1"/>
  <c r="D93" i="1"/>
  <c r="F93" i="1" s="1"/>
  <c r="H93" i="1" s="1"/>
  <c r="K93" i="1" s="1"/>
  <c r="N93" i="1" s="1"/>
  <c r="S93" i="1" s="1"/>
  <c r="D91" i="1"/>
  <c r="F91" i="1" s="1"/>
  <c r="H91" i="1" s="1"/>
  <c r="K91" i="1" s="1"/>
  <c r="N91" i="1" s="1"/>
  <c r="S91" i="1" s="1"/>
  <c r="D80" i="1"/>
  <c r="F80" i="1" s="1"/>
  <c r="H80" i="1" s="1"/>
  <c r="K80" i="1" s="1"/>
  <c r="N80" i="1" s="1"/>
  <c r="S80" i="1" s="1"/>
  <c r="D78" i="1"/>
  <c r="F78" i="1" s="1"/>
  <c r="H78" i="1" s="1"/>
  <c r="K78" i="1" s="1"/>
  <c r="N78" i="1" s="1"/>
  <c r="S78" i="1" s="1"/>
  <c r="D105" i="1"/>
  <c r="F105" i="1" s="1"/>
  <c r="H105" i="1" s="1"/>
  <c r="K105" i="1" s="1"/>
  <c r="N105" i="1" s="1"/>
  <c r="S105" i="1" s="1"/>
  <c r="D103" i="1"/>
  <c r="F103" i="1" s="1"/>
  <c r="H103" i="1" s="1"/>
  <c r="K103" i="1" s="1"/>
  <c r="N103" i="1" s="1"/>
  <c r="S103" i="1" s="1"/>
  <c r="D85" i="1"/>
  <c r="F85" i="1" s="1"/>
  <c r="H85" i="1" s="1"/>
  <c r="K85" i="1" s="1"/>
  <c r="N85" i="1" s="1"/>
  <c r="S85" i="1" s="1"/>
  <c r="D83" i="1"/>
  <c r="F83" i="1" s="1"/>
  <c r="H83" i="1" s="1"/>
  <c r="K83" i="1" s="1"/>
  <c r="N83" i="1" s="1"/>
  <c r="S83" i="1" s="1"/>
  <c r="D98" i="1"/>
  <c r="F98" i="1" s="1"/>
  <c r="H98" i="1" s="1"/>
  <c r="K98" i="1" s="1"/>
  <c r="N98" i="1" s="1"/>
  <c r="S98" i="1" s="1"/>
  <c r="D96" i="1"/>
  <c r="F96" i="1" s="1"/>
  <c r="H96" i="1" s="1"/>
  <c r="K96" i="1" s="1"/>
  <c r="N96" i="1" s="1"/>
  <c r="S96" i="1" s="1"/>
  <c r="D62" i="1"/>
  <c r="D63" i="1"/>
  <c r="D38" i="1"/>
  <c r="F38" i="1" s="1"/>
  <c r="H38" i="1" s="1"/>
  <c r="K38" i="1" s="1"/>
  <c r="N38" i="1" s="1"/>
  <c r="S38" i="1" s="1"/>
  <c r="E24" i="1"/>
  <c r="D27" i="1"/>
  <c r="D31" i="1"/>
  <c r="F31" i="1" s="1"/>
  <c r="H31" i="1" s="1"/>
  <c r="K31" i="1" s="1"/>
  <c r="N31" i="1" s="1"/>
  <c r="S31" i="1" s="1"/>
  <c r="F5" i="1"/>
  <c r="J401" i="1" l="1"/>
  <c r="J412" i="1" s="1"/>
  <c r="G304" i="1"/>
  <c r="G401" i="1" s="1"/>
  <c r="H5" i="1"/>
  <c r="F27" i="1"/>
  <c r="F18" i="1"/>
  <c r="H18" i="1" s="1"/>
  <c r="K18" i="1" s="1"/>
  <c r="N18" i="1" s="1"/>
  <c r="S18" i="1" s="1"/>
  <c r="D46" i="1"/>
  <c r="F46" i="1" s="1"/>
  <c r="D8" i="1"/>
  <c r="F8" i="1" s="1"/>
  <c r="H8" i="1" s="1"/>
  <c r="D6" i="1"/>
  <c r="F6" i="1" s="1"/>
  <c r="H6" i="1" s="1"/>
  <c r="F379" i="1"/>
  <c r="H379" i="1" s="1"/>
  <c r="K379" i="1" s="1"/>
  <c r="N379" i="1" s="1"/>
  <c r="S379" i="1" s="1"/>
  <c r="F337" i="1"/>
  <c r="H337" i="1" s="1"/>
  <c r="K337" i="1" s="1"/>
  <c r="N337" i="1" s="1"/>
  <c r="S337" i="1" s="1"/>
  <c r="F338" i="1"/>
  <c r="H338" i="1" s="1"/>
  <c r="K338" i="1" s="1"/>
  <c r="N338" i="1" s="1"/>
  <c r="S338" i="1" s="1"/>
  <c r="F339" i="1"/>
  <c r="H339" i="1" s="1"/>
  <c r="K339" i="1" s="1"/>
  <c r="N339" i="1" s="1"/>
  <c r="S339" i="1" s="1"/>
  <c r="F341" i="1"/>
  <c r="H341" i="1" s="1"/>
  <c r="K341" i="1" s="1"/>
  <c r="N341" i="1" s="1"/>
  <c r="S341" i="1" s="1"/>
  <c r="F342" i="1"/>
  <c r="H342" i="1" s="1"/>
  <c r="K342" i="1" s="1"/>
  <c r="N342" i="1" s="1"/>
  <c r="S342" i="1" s="1"/>
  <c r="F343" i="1"/>
  <c r="H343" i="1" s="1"/>
  <c r="K343" i="1" s="1"/>
  <c r="N343" i="1" s="1"/>
  <c r="S343" i="1" s="1"/>
  <c r="F344" i="1"/>
  <c r="H344" i="1" s="1"/>
  <c r="K344" i="1" s="1"/>
  <c r="N344" i="1" s="1"/>
  <c r="S344" i="1" s="1"/>
  <c r="F347" i="1"/>
  <c r="H347" i="1" s="1"/>
  <c r="K347" i="1" s="1"/>
  <c r="N347" i="1" s="1"/>
  <c r="S347" i="1" s="1"/>
  <c r="F348" i="1"/>
  <c r="H348" i="1" s="1"/>
  <c r="K348" i="1" s="1"/>
  <c r="N348" i="1" s="1"/>
  <c r="S348" i="1" s="1"/>
  <c r="F349" i="1"/>
  <c r="H349" i="1" s="1"/>
  <c r="K349" i="1" s="1"/>
  <c r="N349" i="1" s="1"/>
  <c r="S349" i="1" s="1"/>
  <c r="F350" i="1"/>
  <c r="H350" i="1" s="1"/>
  <c r="K350" i="1" s="1"/>
  <c r="N350" i="1" s="1"/>
  <c r="S350" i="1" s="1"/>
  <c r="F351" i="1"/>
  <c r="H351" i="1" s="1"/>
  <c r="K351" i="1" s="1"/>
  <c r="N351" i="1" s="1"/>
  <c r="S351" i="1" s="1"/>
  <c r="F352" i="1"/>
  <c r="H352" i="1" s="1"/>
  <c r="K352" i="1" s="1"/>
  <c r="N352" i="1" s="1"/>
  <c r="S352" i="1" s="1"/>
  <c r="F190" i="1"/>
  <c r="H190" i="1" s="1"/>
  <c r="K190" i="1" s="1"/>
  <c r="N190" i="1" s="1"/>
  <c r="S190" i="1" s="1"/>
  <c r="F191" i="1"/>
  <c r="H191" i="1" s="1"/>
  <c r="K191" i="1" s="1"/>
  <c r="N191" i="1" s="1"/>
  <c r="S191" i="1" s="1"/>
  <c r="F148" i="1"/>
  <c r="H148" i="1" s="1"/>
  <c r="K148" i="1" s="1"/>
  <c r="N148" i="1" s="1"/>
  <c r="S148" i="1" s="1"/>
  <c r="F115" i="1"/>
  <c r="H115" i="1" s="1"/>
  <c r="K115" i="1" s="1"/>
  <c r="N115" i="1" s="1"/>
  <c r="S115" i="1" s="1"/>
  <c r="F113" i="1"/>
  <c r="H113" i="1" s="1"/>
  <c r="K113" i="1" s="1"/>
  <c r="N113" i="1" s="1"/>
  <c r="S113" i="1" s="1"/>
  <c r="E64" i="1"/>
  <c r="E60" i="1"/>
  <c r="E52" i="1"/>
  <c r="E47" i="1"/>
  <c r="F45" i="1"/>
  <c r="H45" i="1" s="1"/>
  <c r="K45" i="1" s="1"/>
  <c r="N45" i="1" s="1"/>
  <c r="S45" i="1" s="1"/>
  <c r="E416" i="1"/>
  <c r="E411" i="1"/>
  <c r="E396" i="1"/>
  <c r="E393" i="1"/>
  <c r="E390" i="1"/>
  <c r="E381" i="1"/>
  <c r="E374" i="1"/>
  <c r="E368" i="1"/>
  <c r="E359" i="1"/>
  <c r="E355" i="1"/>
  <c r="E334" i="1"/>
  <c r="E330" i="1"/>
  <c r="E325" i="1"/>
  <c r="E315" i="1"/>
  <c r="E310" i="1"/>
  <c r="E307" i="1"/>
  <c r="E300" i="1"/>
  <c r="E296" i="1"/>
  <c r="E292" i="1"/>
  <c r="E266" i="1"/>
  <c r="E262" i="1"/>
  <c r="E208" i="1"/>
  <c r="E185" i="1"/>
  <c r="E199" i="1"/>
  <c r="E69" i="1"/>
  <c r="E20" i="1"/>
  <c r="E9" i="1"/>
  <c r="F415" i="1"/>
  <c r="H415" i="1" s="1"/>
  <c r="F405" i="1"/>
  <c r="H405" i="1" s="1"/>
  <c r="K405" i="1" s="1"/>
  <c r="N405" i="1" s="1"/>
  <c r="S405" i="1" s="1"/>
  <c r="F406" i="1"/>
  <c r="H406" i="1" s="1"/>
  <c r="K406" i="1" s="1"/>
  <c r="N406" i="1" s="1"/>
  <c r="S406" i="1" s="1"/>
  <c r="F407" i="1"/>
  <c r="H407" i="1" s="1"/>
  <c r="K407" i="1" s="1"/>
  <c r="N407" i="1" s="1"/>
  <c r="S407" i="1" s="1"/>
  <c r="F408" i="1"/>
  <c r="H408" i="1" s="1"/>
  <c r="K408" i="1" s="1"/>
  <c r="N408" i="1" s="1"/>
  <c r="S408" i="1" s="1"/>
  <c r="F409" i="1"/>
  <c r="H409" i="1" s="1"/>
  <c r="K409" i="1" s="1"/>
  <c r="N409" i="1" s="1"/>
  <c r="S409" i="1" s="1"/>
  <c r="F410" i="1"/>
  <c r="H410" i="1" s="1"/>
  <c r="K410" i="1" s="1"/>
  <c r="N410" i="1" s="1"/>
  <c r="S410" i="1" s="1"/>
  <c r="F404" i="1"/>
  <c r="F399" i="1"/>
  <c r="H399" i="1" s="1"/>
  <c r="K399" i="1" s="1"/>
  <c r="N399" i="1" s="1"/>
  <c r="S399" i="1" s="1"/>
  <c r="F398" i="1"/>
  <c r="F392" i="1"/>
  <c r="F385" i="1"/>
  <c r="H385" i="1" s="1"/>
  <c r="K385" i="1" s="1"/>
  <c r="N385" i="1" s="1"/>
  <c r="S385" i="1" s="1"/>
  <c r="F386" i="1"/>
  <c r="H386" i="1" s="1"/>
  <c r="K386" i="1" s="1"/>
  <c r="N386" i="1" s="1"/>
  <c r="S386" i="1" s="1"/>
  <c r="F387" i="1"/>
  <c r="H387" i="1" s="1"/>
  <c r="K387" i="1" s="1"/>
  <c r="N387" i="1" s="1"/>
  <c r="S387" i="1" s="1"/>
  <c r="F388" i="1"/>
  <c r="H388" i="1" s="1"/>
  <c r="K388" i="1" s="1"/>
  <c r="N388" i="1" s="1"/>
  <c r="S388" i="1" s="1"/>
  <c r="F389" i="1"/>
  <c r="H389" i="1" s="1"/>
  <c r="K389" i="1" s="1"/>
  <c r="N389" i="1" s="1"/>
  <c r="S389" i="1" s="1"/>
  <c r="F383" i="1"/>
  <c r="F377" i="1"/>
  <c r="H377" i="1" s="1"/>
  <c r="K377" i="1" s="1"/>
  <c r="N377" i="1" s="1"/>
  <c r="S377" i="1" s="1"/>
  <c r="F378" i="1"/>
  <c r="H378" i="1" s="1"/>
  <c r="K378" i="1" s="1"/>
  <c r="N378" i="1" s="1"/>
  <c r="S378" i="1" s="1"/>
  <c r="F380" i="1"/>
  <c r="H380" i="1" s="1"/>
  <c r="K380" i="1" s="1"/>
  <c r="N380" i="1" s="1"/>
  <c r="S380" i="1" s="1"/>
  <c r="F373" i="1"/>
  <c r="H373" i="1" s="1"/>
  <c r="K373" i="1" s="1"/>
  <c r="N373" i="1" s="1"/>
  <c r="S373" i="1" s="1"/>
  <c r="F370" i="1"/>
  <c r="F362" i="1"/>
  <c r="H362" i="1" s="1"/>
  <c r="K362" i="1" s="1"/>
  <c r="N362" i="1" s="1"/>
  <c r="S362" i="1" s="1"/>
  <c r="F363" i="1"/>
  <c r="H363" i="1" s="1"/>
  <c r="K363" i="1" s="1"/>
  <c r="N363" i="1" s="1"/>
  <c r="S363" i="1" s="1"/>
  <c r="F364" i="1"/>
  <c r="H364" i="1" s="1"/>
  <c r="K364" i="1" s="1"/>
  <c r="N364" i="1" s="1"/>
  <c r="S364" i="1" s="1"/>
  <c r="F365" i="1"/>
  <c r="H365" i="1" s="1"/>
  <c r="K365" i="1" s="1"/>
  <c r="N365" i="1" s="1"/>
  <c r="S365" i="1" s="1"/>
  <c r="F367" i="1"/>
  <c r="H367" i="1" s="1"/>
  <c r="K367" i="1" s="1"/>
  <c r="N367" i="1" s="1"/>
  <c r="S367" i="1" s="1"/>
  <c r="F361" i="1"/>
  <c r="H361" i="1" s="1"/>
  <c r="K361" i="1" s="1"/>
  <c r="F358" i="1"/>
  <c r="H358" i="1" s="1"/>
  <c r="K358" i="1" s="1"/>
  <c r="N358" i="1" s="1"/>
  <c r="S358" i="1" s="1"/>
  <c r="F357" i="1"/>
  <c r="H357" i="1" s="1"/>
  <c r="K357" i="1" s="1"/>
  <c r="F354" i="1"/>
  <c r="H354" i="1" s="1"/>
  <c r="K354" i="1" s="1"/>
  <c r="N354" i="1" s="1"/>
  <c r="S354" i="1" s="1"/>
  <c r="F333" i="1"/>
  <c r="H333" i="1" s="1"/>
  <c r="K333" i="1" s="1"/>
  <c r="N333" i="1" s="1"/>
  <c r="S333" i="1" s="1"/>
  <c r="F332" i="1"/>
  <c r="F329" i="1"/>
  <c r="H329" i="1" s="1"/>
  <c r="F322" i="1"/>
  <c r="H322" i="1" s="1"/>
  <c r="K322" i="1" s="1"/>
  <c r="N322" i="1" s="1"/>
  <c r="S322" i="1" s="1"/>
  <c r="F323" i="1"/>
  <c r="H323" i="1" s="1"/>
  <c r="K323" i="1" s="1"/>
  <c r="N323" i="1" s="1"/>
  <c r="S323" i="1" s="1"/>
  <c r="F324" i="1"/>
  <c r="H324" i="1" s="1"/>
  <c r="K324" i="1" s="1"/>
  <c r="N324" i="1" s="1"/>
  <c r="S324" i="1" s="1"/>
  <c r="F319" i="1"/>
  <c r="H319" i="1" s="1"/>
  <c r="K319" i="1" s="1"/>
  <c r="N319" i="1" s="1"/>
  <c r="S319" i="1" s="1"/>
  <c r="F320" i="1"/>
  <c r="H320" i="1" s="1"/>
  <c r="K320" i="1" s="1"/>
  <c r="N320" i="1" s="1"/>
  <c r="S320" i="1" s="1"/>
  <c r="F321" i="1"/>
  <c r="F317" i="1"/>
  <c r="F313" i="1"/>
  <c r="H313" i="1" s="1"/>
  <c r="K313" i="1" s="1"/>
  <c r="N313" i="1" s="1"/>
  <c r="S313" i="1" s="1"/>
  <c r="F314" i="1"/>
  <c r="H314" i="1" s="1"/>
  <c r="K314" i="1" s="1"/>
  <c r="N314" i="1" s="1"/>
  <c r="S314" i="1" s="1"/>
  <c r="F309" i="1"/>
  <c r="H309" i="1" s="1"/>
  <c r="H307" i="1" s="1"/>
  <c r="F303" i="1"/>
  <c r="F302" i="1"/>
  <c r="F298" i="1"/>
  <c r="H298" i="1" s="1"/>
  <c r="F295" i="1"/>
  <c r="H295" i="1" s="1"/>
  <c r="K295" i="1" s="1"/>
  <c r="N295" i="1" s="1"/>
  <c r="S295" i="1" s="1"/>
  <c r="F294" i="1"/>
  <c r="F271" i="1"/>
  <c r="H271" i="1" s="1"/>
  <c r="K271" i="1" s="1"/>
  <c r="N271" i="1" s="1"/>
  <c r="S271" i="1" s="1"/>
  <c r="F274" i="1"/>
  <c r="H274" i="1" s="1"/>
  <c r="K274" i="1" s="1"/>
  <c r="N274" i="1" s="1"/>
  <c r="F276" i="1"/>
  <c r="H276" i="1" s="1"/>
  <c r="K276" i="1" s="1"/>
  <c r="N276" i="1" s="1"/>
  <c r="S276" i="1" s="1"/>
  <c r="F277" i="1"/>
  <c r="H277" i="1" s="1"/>
  <c r="K277" i="1" s="1"/>
  <c r="N277" i="1" s="1"/>
  <c r="S277" i="1" s="1"/>
  <c r="F278" i="1"/>
  <c r="H278" i="1" s="1"/>
  <c r="K278" i="1" s="1"/>
  <c r="N278" i="1" s="1"/>
  <c r="S278" i="1" s="1"/>
  <c r="F279" i="1"/>
  <c r="H279" i="1" s="1"/>
  <c r="K279" i="1" s="1"/>
  <c r="N279" i="1" s="1"/>
  <c r="S279" i="1" s="1"/>
  <c r="F280" i="1"/>
  <c r="H280" i="1" s="1"/>
  <c r="K280" i="1" s="1"/>
  <c r="N280" i="1" s="1"/>
  <c r="S280" i="1" s="1"/>
  <c r="F281" i="1"/>
  <c r="H281" i="1" s="1"/>
  <c r="K281" i="1" s="1"/>
  <c r="N281" i="1" s="1"/>
  <c r="S281" i="1" s="1"/>
  <c r="F282" i="1"/>
  <c r="H282" i="1" s="1"/>
  <c r="K282" i="1" s="1"/>
  <c r="N282" i="1" s="1"/>
  <c r="S282" i="1" s="1"/>
  <c r="F283" i="1"/>
  <c r="H283" i="1" s="1"/>
  <c r="K283" i="1" s="1"/>
  <c r="N283" i="1" s="1"/>
  <c r="S283" i="1" s="1"/>
  <c r="F284" i="1"/>
  <c r="H284" i="1" s="1"/>
  <c r="K284" i="1" s="1"/>
  <c r="N284" i="1" s="1"/>
  <c r="S284" i="1" s="1"/>
  <c r="F286" i="1"/>
  <c r="H286" i="1" s="1"/>
  <c r="K286" i="1" s="1"/>
  <c r="N286" i="1" s="1"/>
  <c r="S286" i="1" s="1"/>
  <c r="F269" i="1"/>
  <c r="H269" i="1" s="1"/>
  <c r="K269" i="1" s="1"/>
  <c r="N269" i="1" s="1"/>
  <c r="S269" i="1" s="1"/>
  <c r="F270" i="1"/>
  <c r="H270" i="1" s="1"/>
  <c r="K270" i="1" s="1"/>
  <c r="N270" i="1" s="1"/>
  <c r="S270" i="1" s="1"/>
  <c r="F268" i="1"/>
  <c r="F211" i="1"/>
  <c r="H211" i="1" s="1"/>
  <c r="K211" i="1" s="1"/>
  <c r="N211" i="1" s="1"/>
  <c r="S211" i="1" s="1"/>
  <c r="F212" i="1"/>
  <c r="H212" i="1" s="1"/>
  <c r="K212" i="1" s="1"/>
  <c r="N212" i="1" s="1"/>
  <c r="S212" i="1" s="1"/>
  <c r="F213" i="1"/>
  <c r="H213" i="1" s="1"/>
  <c r="K213" i="1" s="1"/>
  <c r="N213" i="1" s="1"/>
  <c r="S213" i="1" s="1"/>
  <c r="F214" i="1"/>
  <c r="H214" i="1" s="1"/>
  <c r="K214" i="1" s="1"/>
  <c r="N214" i="1" s="1"/>
  <c r="S214" i="1" s="1"/>
  <c r="F216" i="1"/>
  <c r="H216" i="1" s="1"/>
  <c r="K216" i="1" s="1"/>
  <c r="N216" i="1" s="1"/>
  <c r="S216" i="1" s="1"/>
  <c r="F217" i="1"/>
  <c r="H217" i="1" s="1"/>
  <c r="K217" i="1" s="1"/>
  <c r="N217" i="1" s="1"/>
  <c r="S217" i="1" s="1"/>
  <c r="F219" i="1"/>
  <c r="H219" i="1" s="1"/>
  <c r="K219" i="1" s="1"/>
  <c r="N219" i="1" s="1"/>
  <c r="S219" i="1" s="1"/>
  <c r="F221" i="1"/>
  <c r="H221" i="1" s="1"/>
  <c r="K221" i="1" s="1"/>
  <c r="N221" i="1" s="1"/>
  <c r="S221" i="1" s="1"/>
  <c r="F223" i="1"/>
  <c r="H223" i="1" s="1"/>
  <c r="K223" i="1" s="1"/>
  <c r="N223" i="1" s="1"/>
  <c r="S223" i="1" s="1"/>
  <c r="F226" i="1"/>
  <c r="H226" i="1" s="1"/>
  <c r="K226" i="1" s="1"/>
  <c r="N226" i="1" s="1"/>
  <c r="S226" i="1" s="1"/>
  <c r="F228" i="1"/>
  <c r="H228" i="1" s="1"/>
  <c r="K228" i="1" s="1"/>
  <c r="N228" i="1" s="1"/>
  <c r="S228" i="1" s="1"/>
  <c r="F229" i="1"/>
  <c r="H229" i="1" s="1"/>
  <c r="K229" i="1" s="1"/>
  <c r="N229" i="1" s="1"/>
  <c r="S229" i="1" s="1"/>
  <c r="F230" i="1"/>
  <c r="H230" i="1" s="1"/>
  <c r="K230" i="1" s="1"/>
  <c r="N230" i="1" s="1"/>
  <c r="S230" i="1" s="1"/>
  <c r="F231" i="1"/>
  <c r="H231" i="1" s="1"/>
  <c r="K231" i="1" s="1"/>
  <c r="N231" i="1" s="1"/>
  <c r="S231" i="1" s="1"/>
  <c r="F232" i="1"/>
  <c r="H232" i="1" s="1"/>
  <c r="K232" i="1" s="1"/>
  <c r="N232" i="1" s="1"/>
  <c r="S232" i="1" s="1"/>
  <c r="F233" i="1"/>
  <c r="H233" i="1" s="1"/>
  <c r="K233" i="1" s="1"/>
  <c r="N233" i="1" s="1"/>
  <c r="S233" i="1" s="1"/>
  <c r="F235" i="1"/>
  <c r="H235" i="1" s="1"/>
  <c r="K235" i="1" s="1"/>
  <c r="N235" i="1" s="1"/>
  <c r="S235" i="1" s="1"/>
  <c r="F236" i="1"/>
  <c r="H236" i="1" s="1"/>
  <c r="K236" i="1" s="1"/>
  <c r="N236" i="1" s="1"/>
  <c r="S236" i="1" s="1"/>
  <c r="F237" i="1"/>
  <c r="H237" i="1" s="1"/>
  <c r="K237" i="1" s="1"/>
  <c r="N237" i="1" s="1"/>
  <c r="S237" i="1" s="1"/>
  <c r="F238" i="1"/>
  <c r="H238" i="1" s="1"/>
  <c r="K238" i="1" s="1"/>
  <c r="N238" i="1" s="1"/>
  <c r="S238" i="1" s="1"/>
  <c r="F240" i="1"/>
  <c r="H240" i="1" s="1"/>
  <c r="K240" i="1" s="1"/>
  <c r="N240" i="1" s="1"/>
  <c r="S240" i="1" s="1"/>
  <c r="F241" i="1"/>
  <c r="H241" i="1" s="1"/>
  <c r="K241" i="1" s="1"/>
  <c r="N241" i="1" s="1"/>
  <c r="S241" i="1" s="1"/>
  <c r="F242" i="1"/>
  <c r="H242" i="1" s="1"/>
  <c r="K242" i="1" s="1"/>
  <c r="N242" i="1" s="1"/>
  <c r="S242" i="1" s="1"/>
  <c r="F244" i="1"/>
  <c r="H244" i="1" s="1"/>
  <c r="K244" i="1" s="1"/>
  <c r="N244" i="1" s="1"/>
  <c r="S244" i="1" s="1"/>
  <c r="F248" i="1"/>
  <c r="H248" i="1" s="1"/>
  <c r="K248" i="1" s="1"/>
  <c r="N248" i="1" s="1"/>
  <c r="S248" i="1" s="1"/>
  <c r="F249" i="1"/>
  <c r="H249" i="1" s="1"/>
  <c r="K249" i="1" s="1"/>
  <c r="N249" i="1" s="1"/>
  <c r="S249" i="1" s="1"/>
  <c r="F250" i="1"/>
  <c r="H250" i="1" s="1"/>
  <c r="K250" i="1" s="1"/>
  <c r="N250" i="1" s="1"/>
  <c r="S250" i="1" s="1"/>
  <c r="F251" i="1"/>
  <c r="H251" i="1" s="1"/>
  <c r="K251" i="1" s="1"/>
  <c r="N251" i="1" s="1"/>
  <c r="S251" i="1" s="1"/>
  <c r="F252" i="1"/>
  <c r="H252" i="1" s="1"/>
  <c r="K252" i="1" s="1"/>
  <c r="N252" i="1" s="1"/>
  <c r="S252" i="1" s="1"/>
  <c r="F254" i="1"/>
  <c r="H254" i="1" s="1"/>
  <c r="K254" i="1" s="1"/>
  <c r="N254" i="1" s="1"/>
  <c r="S254" i="1" s="1"/>
  <c r="F255" i="1"/>
  <c r="H255" i="1" s="1"/>
  <c r="K255" i="1" s="1"/>
  <c r="N255" i="1" s="1"/>
  <c r="S255" i="1" s="1"/>
  <c r="F261" i="1"/>
  <c r="H261" i="1" s="1"/>
  <c r="K261" i="1" s="1"/>
  <c r="N261" i="1" s="1"/>
  <c r="S261" i="1" s="1"/>
  <c r="F210" i="1"/>
  <c r="F202" i="1"/>
  <c r="H202" i="1" s="1"/>
  <c r="K202" i="1" s="1"/>
  <c r="N202" i="1" s="1"/>
  <c r="S202" i="1" s="1"/>
  <c r="F203" i="1"/>
  <c r="H203" i="1" s="1"/>
  <c r="K203" i="1" s="1"/>
  <c r="N203" i="1" s="1"/>
  <c r="S203" i="1" s="1"/>
  <c r="F204" i="1"/>
  <c r="H204" i="1" s="1"/>
  <c r="K204" i="1" s="1"/>
  <c r="N204" i="1" s="1"/>
  <c r="S204" i="1" s="1"/>
  <c r="F205" i="1"/>
  <c r="H205" i="1" s="1"/>
  <c r="K205" i="1" s="1"/>
  <c r="N205" i="1" s="1"/>
  <c r="S205" i="1" s="1"/>
  <c r="F206" i="1"/>
  <c r="H206" i="1" s="1"/>
  <c r="K206" i="1" s="1"/>
  <c r="N206" i="1" s="1"/>
  <c r="S206" i="1" s="1"/>
  <c r="F188" i="1"/>
  <c r="H188" i="1" s="1"/>
  <c r="K188" i="1" s="1"/>
  <c r="N188" i="1" s="1"/>
  <c r="S188" i="1" s="1"/>
  <c r="F189" i="1"/>
  <c r="H189" i="1" s="1"/>
  <c r="K189" i="1" s="1"/>
  <c r="N189" i="1" s="1"/>
  <c r="S189" i="1" s="1"/>
  <c r="F192" i="1"/>
  <c r="H192" i="1" s="1"/>
  <c r="K192" i="1" s="1"/>
  <c r="N192" i="1" s="1"/>
  <c r="S192" i="1" s="1"/>
  <c r="F193" i="1"/>
  <c r="H193" i="1" s="1"/>
  <c r="K193" i="1" s="1"/>
  <c r="N193" i="1" s="1"/>
  <c r="S193" i="1" s="1"/>
  <c r="F194" i="1"/>
  <c r="H194" i="1" s="1"/>
  <c r="K194" i="1" s="1"/>
  <c r="N194" i="1" s="1"/>
  <c r="S194" i="1" s="1"/>
  <c r="F195" i="1"/>
  <c r="H195" i="1" s="1"/>
  <c r="K195" i="1" s="1"/>
  <c r="N195" i="1" s="1"/>
  <c r="S195" i="1" s="1"/>
  <c r="F196" i="1"/>
  <c r="H196" i="1" s="1"/>
  <c r="K196" i="1" s="1"/>
  <c r="N196" i="1" s="1"/>
  <c r="S196" i="1" s="1"/>
  <c r="F197" i="1"/>
  <c r="H197" i="1" s="1"/>
  <c r="K197" i="1" s="1"/>
  <c r="N197" i="1" s="1"/>
  <c r="S197" i="1" s="1"/>
  <c r="F198" i="1"/>
  <c r="H198" i="1" s="1"/>
  <c r="F73" i="1"/>
  <c r="H73" i="1" s="1"/>
  <c r="K73" i="1" s="1"/>
  <c r="N73" i="1" s="1"/>
  <c r="S73" i="1" s="1"/>
  <c r="F74" i="1"/>
  <c r="H74" i="1" s="1"/>
  <c r="K74" i="1" s="1"/>
  <c r="N74" i="1" s="1"/>
  <c r="S74" i="1" s="1"/>
  <c r="F75" i="1"/>
  <c r="H75" i="1" s="1"/>
  <c r="K75" i="1" s="1"/>
  <c r="N75" i="1" s="1"/>
  <c r="S75" i="1" s="1"/>
  <c r="F76" i="1"/>
  <c r="H76" i="1" s="1"/>
  <c r="K76" i="1" s="1"/>
  <c r="N76" i="1" s="1"/>
  <c r="S76" i="1" s="1"/>
  <c r="F77" i="1"/>
  <c r="H77" i="1" s="1"/>
  <c r="K77" i="1" s="1"/>
  <c r="N77" i="1" s="1"/>
  <c r="S77" i="1" s="1"/>
  <c r="F82" i="1"/>
  <c r="H82" i="1" s="1"/>
  <c r="K82" i="1" s="1"/>
  <c r="N82" i="1" s="1"/>
  <c r="S82" i="1" s="1"/>
  <c r="F87" i="1"/>
  <c r="H87" i="1" s="1"/>
  <c r="K87" i="1" s="1"/>
  <c r="N87" i="1" s="1"/>
  <c r="S87" i="1" s="1"/>
  <c r="F90" i="1"/>
  <c r="H90" i="1" s="1"/>
  <c r="K90" i="1" s="1"/>
  <c r="N90" i="1" s="1"/>
  <c r="S90" i="1" s="1"/>
  <c r="F95" i="1"/>
  <c r="H95" i="1" s="1"/>
  <c r="K95" i="1" s="1"/>
  <c r="N95" i="1" s="1"/>
  <c r="S95" i="1" s="1"/>
  <c r="F100" i="1"/>
  <c r="H100" i="1" s="1"/>
  <c r="K100" i="1" s="1"/>
  <c r="N100" i="1" s="1"/>
  <c r="S100" i="1" s="1"/>
  <c r="F101" i="1"/>
  <c r="H101" i="1" s="1"/>
  <c r="K101" i="1" s="1"/>
  <c r="N101" i="1" s="1"/>
  <c r="S101" i="1" s="1"/>
  <c r="F102" i="1"/>
  <c r="H102" i="1" s="1"/>
  <c r="K102" i="1" s="1"/>
  <c r="N102" i="1" s="1"/>
  <c r="S102" i="1" s="1"/>
  <c r="F107" i="1"/>
  <c r="H107" i="1" s="1"/>
  <c r="K107" i="1" s="1"/>
  <c r="N107" i="1" s="1"/>
  <c r="S107" i="1" s="1"/>
  <c r="F108" i="1"/>
  <c r="H108" i="1" s="1"/>
  <c r="K108" i="1" s="1"/>
  <c r="N108" i="1" s="1"/>
  <c r="S108" i="1" s="1"/>
  <c r="F114" i="1"/>
  <c r="H114" i="1" s="1"/>
  <c r="K114" i="1" s="1"/>
  <c r="N114" i="1" s="1"/>
  <c r="S114" i="1" s="1"/>
  <c r="F116" i="1"/>
  <c r="H116" i="1" s="1"/>
  <c r="K116" i="1" s="1"/>
  <c r="N116" i="1" s="1"/>
  <c r="S116" i="1" s="1"/>
  <c r="F117" i="1"/>
  <c r="H117" i="1" s="1"/>
  <c r="K117" i="1" s="1"/>
  <c r="N117" i="1" s="1"/>
  <c r="S117" i="1" s="1"/>
  <c r="F119" i="1"/>
  <c r="H119" i="1" s="1"/>
  <c r="K119" i="1" s="1"/>
  <c r="N119" i="1" s="1"/>
  <c r="S119" i="1" s="1"/>
  <c r="F122" i="1"/>
  <c r="H122" i="1" s="1"/>
  <c r="K122" i="1" s="1"/>
  <c r="N122" i="1" s="1"/>
  <c r="S122" i="1" s="1"/>
  <c r="F123" i="1"/>
  <c r="H123" i="1" s="1"/>
  <c r="K123" i="1" s="1"/>
  <c r="N123" i="1" s="1"/>
  <c r="S123" i="1" s="1"/>
  <c r="F127" i="1"/>
  <c r="H127" i="1" s="1"/>
  <c r="K127" i="1" s="1"/>
  <c r="N127" i="1" s="1"/>
  <c r="S127" i="1" s="1"/>
  <c r="F128" i="1"/>
  <c r="H128" i="1" s="1"/>
  <c r="K128" i="1" s="1"/>
  <c r="N128" i="1" s="1"/>
  <c r="S128" i="1" s="1"/>
  <c r="F129" i="1"/>
  <c r="H129" i="1" s="1"/>
  <c r="K129" i="1" s="1"/>
  <c r="N129" i="1" s="1"/>
  <c r="S129" i="1" s="1"/>
  <c r="F130" i="1"/>
  <c r="H130" i="1" s="1"/>
  <c r="K130" i="1" s="1"/>
  <c r="N130" i="1" s="1"/>
  <c r="S130" i="1" s="1"/>
  <c r="F132" i="1"/>
  <c r="H132" i="1" s="1"/>
  <c r="K132" i="1" s="1"/>
  <c r="N132" i="1" s="1"/>
  <c r="S132" i="1" s="1"/>
  <c r="F133" i="1"/>
  <c r="H133" i="1" s="1"/>
  <c r="K133" i="1" s="1"/>
  <c r="N133" i="1" s="1"/>
  <c r="S133" i="1" s="1"/>
  <c r="F137" i="1"/>
  <c r="H137" i="1" s="1"/>
  <c r="K137" i="1" s="1"/>
  <c r="N137" i="1" s="1"/>
  <c r="S137" i="1" s="1"/>
  <c r="F138" i="1"/>
  <c r="H138" i="1" s="1"/>
  <c r="K138" i="1" s="1"/>
  <c r="N138" i="1" s="1"/>
  <c r="S138" i="1" s="1"/>
  <c r="F141" i="1"/>
  <c r="H141" i="1" s="1"/>
  <c r="K141" i="1" s="1"/>
  <c r="N141" i="1" s="1"/>
  <c r="S141" i="1" s="1"/>
  <c r="F142" i="1"/>
  <c r="H142" i="1" s="1"/>
  <c r="K142" i="1" s="1"/>
  <c r="N142" i="1" s="1"/>
  <c r="S142" i="1" s="1"/>
  <c r="F162" i="1"/>
  <c r="H162" i="1" s="1"/>
  <c r="K162" i="1" s="1"/>
  <c r="N162" i="1" s="1"/>
  <c r="S162" i="1" s="1"/>
  <c r="F163" i="1"/>
  <c r="H163" i="1" s="1"/>
  <c r="K163" i="1" s="1"/>
  <c r="N163" i="1" s="1"/>
  <c r="S163" i="1" s="1"/>
  <c r="F164" i="1"/>
  <c r="H164" i="1" s="1"/>
  <c r="K164" i="1" s="1"/>
  <c r="N164" i="1" s="1"/>
  <c r="S164" i="1" s="1"/>
  <c r="F165" i="1"/>
  <c r="H165" i="1" s="1"/>
  <c r="K165" i="1" s="1"/>
  <c r="N165" i="1" s="1"/>
  <c r="S165" i="1" s="1"/>
  <c r="F166" i="1"/>
  <c r="H166" i="1" s="1"/>
  <c r="K166" i="1" s="1"/>
  <c r="N166" i="1" s="1"/>
  <c r="S166" i="1" s="1"/>
  <c r="F167" i="1"/>
  <c r="H167" i="1" s="1"/>
  <c r="K167" i="1" s="1"/>
  <c r="N167" i="1" s="1"/>
  <c r="S167" i="1" s="1"/>
  <c r="F168" i="1"/>
  <c r="H168" i="1" s="1"/>
  <c r="K168" i="1" s="1"/>
  <c r="N168" i="1" s="1"/>
  <c r="S168" i="1" s="1"/>
  <c r="F169" i="1"/>
  <c r="H169" i="1" s="1"/>
  <c r="K169" i="1" s="1"/>
  <c r="N169" i="1" s="1"/>
  <c r="S169" i="1" s="1"/>
  <c r="F170" i="1"/>
  <c r="H170" i="1" s="1"/>
  <c r="K170" i="1" s="1"/>
  <c r="N170" i="1" s="1"/>
  <c r="S170" i="1" s="1"/>
  <c r="F171" i="1"/>
  <c r="H171" i="1" s="1"/>
  <c r="K171" i="1" s="1"/>
  <c r="N171" i="1" s="1"/>
  <c r="S171" i="1" s="1"/>
  <c r="F172" i="1"/>
  <c r="H172" i="1" s="1"/>
  <c r="K172" i="1" s="1"/>
  <c r="N172" i="1" s="1"/>
  <c r="S172" i="1" s="1"/>
  <c r="F173" i="1"/>
  <c r="H173" i="1" s="1"/>
  <c r="K173" i="1" s="1"/>
  <c r="N173" i="1" s="1"/>
  <c r="S173" i="1" s="1"/>
  <c r="F174" i="1"/>
  <c r="H174" i="1" s="1"/>
  <c r="K174" i="1" s="1"/>
  <c r="N174" i="1" s="1"/>
  <c r="S174" i="1" s="1"/>
  <c r="F175" i="1"/>
  <c r="H175" i="1" s="1"/>
  <c r="K175" i="1" s="1"/>
  <c r="N175" i="1" s="1"/>
  <c r="S175" i="1" s="1"/>
  <c r="F176" i="1"/>
  <c r="H176" i="1" s="1"/>
  <c r="K176" i="1" s="1"/>
  <c r="N176" i="1" s="1"/>
  <c r="S176" i="1" s="1"/>
  <c r="F177" i="1"/>
  <c r="H177" i="1" s="1"/>
  <c r="K177" i="1" s="1"/>
  <c r="N177" i="1" s="1"/>
  <c r="S177" i="1" s="1"/>
  <c r="F178" i="1"/>
  <c r="H178" i="1" s="1"/>
  <c r="K178" i="1" s="1"/>
  <c r="N178" i="1" s="1"/>
  <c r="S178" i="1" s="1"/>
  <c r="F179" i="1"/>
  <c r="H179" i="1" s="1"/>
  <c r="K179" i="1" s="1"/>
  <c r="N179" i="1" s="1"/>
  <c r="S179" i="1" s="1"/>
  <c r="F181" i="1"/>
  <c r="H181" i="1" s="1"/>
  <c r="K181" i="1" s="1"/>
  <c r="N181" i="1" s="1"/>
  <c r="S181" i="1" s="1"/>
  <c r="F182" i="1"/>
  <c r="H182" i="1" s="1"/>
  <c r="K182" i="1" s="1"/>
  <c r="N182" i="1" s="1"/>
  <c r="S182" i="1" s="1"/>
  <c r="F183" i="1"/>
  <c r="H183" i="1" s="1"/>
  <c r="K183" i="1" s="1"/>
  <c r="N183" i="1" s="1"/>
  <c r="S183" i="1" s="1"/>
  <c r="F67" i="1"/>
  <c r="H67" i="1" s="1"/>
  <c r="K67" i="1" s="1"/>
  <c r="N67" i="1" s="1"/>
  <c r="S67" i="1" s="1"/>
  <c r="F68" i="1"/>
  <c r="H68" i="1" s="1"/>
  <c r="K68" i="1" s="1"/>
  <c r="N68" i="1" s="1"/>
  <c r="S68" i="1" s="1"/>
  <c r="F66" i="1"/>
  <c r="F55" i="1"/>
  <c r="H55" i="1" s="1"/>
  <c r="K55" i="1" s="1"/>
  <c r="N55" i="1" s="1"/>
  <c r="S55" i="1" s="1"/>
  <c r="F56" i="1"/>
  <c r="H56" i="1" s="1"/>
  <c r="K56" i="1" s="1"/>
  <c r="F57" i="1"/>
  <c r="H57" i="1" s="1"/>
  <c r="K57" i="1" s="1"/>
  <c r="N57" i="1" s="1"/>
  <c r="S57" i="1" s="1"/>
  <c r="F58" i="1"/>
  <c r="H58" i="1" s="1"/>
  <c r="K58" i="1" s="1"/>
  <c r="F50" i="1"/>
  <c r="H50" i="1" s="1"/>
  <c r="K50" i="1" s="1"/>
  <c r="N50" i="1" s="1"/>
  <c r="S50" i="1" s="1"/>
  <c r="F49" i="1"/>
  <c r="F13" i="1"/>
  <c r="H13" i="1" s="1"/>
  <c r="K13" i="1" s="1"/>
  <c r="N13" i="1" s="1"/>
  <c r="S13" i="1" s="1"/>
  <c r="F14" i="1"/>
  <c r="H14" i="1" s="1"/>
  <c r="K14" i="1" s="1"/>
  <c r="N14" i="1" s="1"/>
  <c r="S14" i="1" s="1"/>
  <c r="F15" i="1"/>
  <c r="H15" i="1" s="1"/>
  <c r="K15" i="1" s="1"/>
  <c r="N15" i="1" s="1"/>
  <c r="S15" i="1" s="1"/>
  <c r="F16" i="1"/>
  <c r="H16" i="1" s="1"/>
  <c r="K16" i="1" s="1"/>
  <c r="N16" i="1" s="1"/>
  <c r="S16" i="1" s="1"/>
  <c r="F17" i="1"/>
  <c r="H17" i="1" s="1"/>
  <c r="K17" i="1" s="1"/>
  <c r="N17" i="1" s="1"/>
  <c r="S17" i="1" s="1"/>
  <c r="F19" i="1"/>
  <c r="H19" i="1" s="1"/>
  <c r="K19" i="1" s="1"/>
  <c r="N19" i="1" s="1"/>
  <c r="S19" i="1" s="1"/>
  <c r="F7" i="1"/>
  <c r="H7" i="1" s="1"/>
  <c r="K7" i="1" s="1"/>
  <c r="N7" i="1" s="1"/>
  <c r="S7" i="1" s="1"/>
  <c r="F62" i="1"/>
  <c r="H62" i="1" s="1"/>
  <c r="K62" i="1" s="1"/>
  <c r="D395" i="1"/>
  <c r="D393" i="1" s="1"/>
  <c r="F376" i="1"/>
  <c r="D325" i="1"/>
  <c r="D318" i="1"/>
  <c r="F318" i="1" s="1"/>
  <c r="D299" i="1"/>
  <c r="F299" i="1" s="1"/>
  <c r="H299" i="1" s="1"/>
  <c r="F265" i="1"/>
  <c r="D201" i="1"/>
  <c r="F201" i="1" s="1"/>
  <c r="D207" i="1"/>
  <c r="F207" i="1" s="1"/>
  <c r="F63" i="1"/>
  <c r="D33" i="1"/>
  <c r="F33" i="1" s="1"/>
  <c r="H33" i="1" s="1"/>
  <c r="K33" i="1" s="1"/>
  <c r="N33" i="1" s="1"/>
  <c r="S33" i="1" s="1"/>
  <c r="D336" i="1"/>
  <c r="D334" i="1" s="1"/>
  <c r="F187" i="1"/>
  <c r="H187" i="1" s="1"/>
  <c r="K187" i="1" s="1"/>
  <c r="D71" i="1"/>
  <c r="F71" i="1" s="1"/>
  <c r="F135" i="1"/>
  <c r="H135" i="1" s="1"/>
  <c r="K135" i="1" s="1"/>
  <c r="N135" i="1" s="1"/>
  <c r="S135" i="1" s="1"/>
  <c r="F134" i="1"/>
  <c r="H134" i="1" s="1"/>
  <c r="K134" i="1" s="1"/>
  <c r="N134" i="1" s="1"/>
  <c r="S134" i="1" s="1"/>
  <c r="D59" i="1"/>
  <c r="F59" i="1" s="1"/>
  <c r="H59" i="1" s="1"/>
  <c r="K59" i="1" s="1"/>
  <c r="N59" i="1" s="1"/>
  <c r="S59" i="1" s="1"/>
  <c r="D54" i="1"/>
  <c r="F54" i="1" s="1"/>
  <c r="D40" i="1"/>
  <c r="F40" i="1" s="1"/>
  <c r="H40" i="1" s="1"/>
  <c r="K40" i="1" s="1"/>
  <c r="N40" i="1" s="1"/>
  <c r="S40" i="1" s="1"/>
  <c r="D12" i="1"/>
  <c r="F12" i="1" s="1"/>
  <c r="D416" i="1"/>
  <c r="C416" i="1"/>
  <c r="D411" i="1"/>
  <c r="C411" i="1"/>
  <c r="D396" i="1"/>
  <c r="C396" i="1"/>
  <c r="C393" i="1"/>
  <c r="D390" i="1"/>
  <c r="C390" i="1"/>
  <c r="D384" i="1"/>
  <c r="D381" i="1" s="1"/>
  <c r="C381" i="1"/>
  <c r="C374" i="1"/>
  <c r="D368" i="1"/>
  <c r="C368" i="1"/>
  <c r="D359" i="1"/>
  <c r="C359" i="1"/>
  <c r="D355" i="1"/>
  <c r="C355" i="1"/>
  <c r="C334" i="1"/>
  <c r="D330" i="1"/>
  <c r="C330" i="1"/>
  <c r="C325" i="1"/>
  <c r="C315" i="1"/>
  <c r="D312" i="1"/>
  <c r="F312" i="1" s="1"/>
  <c r="C310" i="1"/>
  <c r="D307" i="1"/>
  <c r="C307" i="1"/>
  <c r="D300" i="1"/>
  <c r="D292" i="1"/>
  <c r="D291" i="1"/>
  <c r="F291" i="1" s="1"/>
  <c r="H291" i="1" s="1"/>
  <c r="D208" i="1"/>
  <c r="F184" i="1"/>
  <c r="H184" i="1" s="1"/>
  <c r="D161" i="1"/>
  <c r="F161" i="1" s="1"/>
  <c r="H161" i="1" s="1"/>
  <c r="K161" i="1" s="1"/>
  <c r="N161" i="1" s="1"/>
  <c r="S161" i="1" s="1"/>
  <c r="D160" i="1"/>
  <c r="F160" i="1" s="1"/>
  <c r="H160" i="1" s="1"/>
  <c r="K160" i="1" s="1"/>
  <c r="N160" i="1" s="1"/>
  <c r="S160" i="1" s="1"/>
  <c r="D159" i="1"/>
  <c r="F159" i="1" s="1"/>
  <c r="H159" i="1" s="1"/>
  <c r="K159" i="1" s="1"/>
  <c r="N159" i="1" s="1"/>
  <c r="S159" i="1" s="1"/>
  <c r="D158" i="1"/>
  <c r="F158" i="1" s="1"/>
  <c r="H158" i="1" s="1"/>
  <c r="K158" i="1" s="1"/>
  <c r="N158" i="1" s="1"/>
  <c r="S158" i="1" s="1"/>
  <c r="D157" i="1"/>
  <c r="F157" i="1" s="1"/>
  <c r="H157" i="1" s="1"/>
  <c r="K157" i="1" s="1"/>
  <c r="N157" i="1" s="1"/>
  <c r="S157" i="1" s="1"/>
  <c r="D156" i="1"/>
  <c r="F156" i="1" s="1"/>
  <c r="H156" i="1" s="1"/>
  <c r="K156" i="1" s="1"/>
  <c r="N156" i="1" s="1"/>
  <c r="S156" i="1" s="1"/>
  <c r="D155" i="1"/>
  <c r="F155" i="1" s="1"/>
  <c r="H155" i="1" s="1"/>
  <c r="K155" i="1" s="1"/>
  <c r="N155" i="1" s="1"/>
  <c r="S155" i="1" s="1"/>
  <c r="D154" i="1"/>
  <c r="F154" i="1" s="1"/>
  <c r="H154" i="1" s="1"/>
  <c r="K154" i="1" s="1"/>
  <c r="N154" i="1" s="1"/>
  <c r="S154" i="1" s="1"/>
  <c r="D153" i="1"/>
  <c r="F153" i="1" s="1"/>
  <c r="H153" i="1" s="1"/>
  <c r="K153" i="1" s="1"/>
  <c r="N153" i="1" s="1"/>
  <c r="S153" i="1" s="1"/>
  <c r="D152" i="1"/>
  <c r="F152" i="1" s="1"/>
  <c r="H152" i="1" s="1"/>
  <c r="K152" i="1" s="1"/>
  <c r="N152" i="1" s="1"/>
  <c r="S152" i="1" s="1"/>
  <c r="D151" i="1"/>
  <c r="F151" i="1" s="1"/>
  <c r="H151" i="1" s="1"/>
  <c r="K151" i="1" s="1"/>
  <c r="N151" i="1" s="1"/>
  <c r="S151" i="1" s="1"/>
  <c r="D150" i="1"/>
  <c r="F150" i="1" s="1"/>
  <c r="H150" i="1" s="1"/>
  <c r="K150" i="1" s="1"/>
  <c r="N150" i="1" s="1"/>
  <c r="S150" i="1" s="1"/>
  <c r="D149" i="1"/>
  <c r="F149" i="1" s="1"/>
  <c r="H149" i="1" s="1"/>
  <c r="K149" i="1" s="1"/>
  <c r="N149" i="1" s="1"/>
  <c r="S149" i="1" s="1"/>
  <c r="D64" i="1"/>
  <c r="D51" i="1"/>
  <c r="F51" i="1" s="1"/>
  <c r="N56" i="1" l="1"/>
  <c r="S56" i="1" s="1"/>
  <c r="N58" i="1"/>
  <c r="S58" i="1" s="1"/>
  <c r="K355" i="1"/>
  <c r="K291" i="1"/>
  <c r="N291" i="1" s="1"/>
  <c r="S291" i="1" s="1"/>
  <c r="K329" i="1"/>
  <c r="N329" i="1" s="1"/>
  <c r="S329" i="1" s="1"/>
  <c r="K359" i="1"/>
  <c r="K198" i="1"/>
  <c r="K185" i="1" s="1"/>
  <c r="K184" i="1"/>
  <c r="N184" i="1" s="1"/>
  <c r="S184" i="1" s="1"/>
  <c r="K8" i="1"/>
  <c r="N8" i="1" s="1"/>
  <c r="S8" i="1" s="1"/>
  <c r="K6" i="1"/>
  <c r="N6" i="1" s="1"/>
  <c r="S6" i="1" s="1"/>
  <c r="K299" i="1"/>
  <c r="N299" i="1" s="1"/>
  <c r="S299" i="1" s="1"/>
  <c r="H185" i="1"/>
  <c r="H296" i="1"/>
  <c r="N357" i="1"/>
  <c r="S357" i="1" s="1"/>
  <c r="H355" i="1"/>
  <c r="N361" i="1"/>
  <c r="S361" i="1" s="1"/>
  <c r="H359" i="1"/>
  <c r="H9" i="1"/>
  <c r="K298" i="1"/>
  <c r="N298" i="1" s="1"/>
  <c r="S298" i="1" s="1"/>
  <c r="K309" i="1"/>
  <c r="N309" i="1" s="1"/>
  <c r="S309" i="1" s="1"/>
  <c r="N187" i="1"/>
  <c r="S187" i="1" s="1"/>
  <c r="N62" i="1"/>
  <c r="S62" i="1" s="1"/>
  <c r="K5" i="1"/>
  <c r="N5" i="1" s="1"/>
  <c r="S5" i="1" s="1"/>
  <c r="H71" i="1"/>
  <c r="H69" i="1" s="1"/>
  <c r="H303" i="1"/>
  <c r="H207" i="1"/>
  <c r="H46" i="1"/>
  <c r="K46" i="1" s="1"/>
  <c r="N46" i="1" s="1"/>
  <c r="S46" i="1" s="1"/>
  <c r="H318" i="1"/>
  <c r="H321" i="1"/>
  <c r="K321" i="1" s="1"/>
  <c r="N321" i="1" s="1"/>
  <c r="S321" i="1" s="1"/>
  <c r="H51" i="1"/>
  <c r="K51" i="1" s="1"/>
  <c r="N51" i="1" s="1"/>
  <c r="S51" i="1" s="1"/>
  <c r="H63" i="1"/>
  <c r="I415" i="1"/>
  <c r="K415" i="1" s="1"/>
  <c r="N415" i="1" s="1"/>
  <c r="S415" i="1" s="1"/>
  <c r="F60" i="1"/>
  <c r="F64" i="1"/>
  <c r="H66" i="1"/>
  <c r="H64" i="1" s="1"/>
  <c r="F296" i="1"/>
  <c r="H392" i="1"/>
  <c r="F390" i="1"/>
  <c r="F52" i="1"/>
  <c r="H54" i="1"/>
  <c r="H52" i="1" s="1"/>
  <c r="H49" i="1"/>
  <c r="F47" i="1"/>
  <c r="F185" i="1"/>
  <c r="F208" i="1"/>
  <c r="H210" i="1"/>
  <c r="H208" i="1" s="1"/>
  <c r="F292" i="1"/>
  <c r="H294" i="1"/>
  <c r="F9" i="1"/>
  <c r="H302" i="1"/>
  <c r="F300" i="1"/>
  <c r="F368" i="1"/>
  <c r="H370" i="1"/>
  <c r="F396" i="1"/>
  <c r="H398" i="1"/>
  <c r="H317" i="1"/>
  <c r="K317" i="1" s="1"/>
  <c r="F315" i="1"/>
  <c r="F69" i="1"/>
  <c r="F330" i="1"/>
  <c r="H332" i="1"/>
  <c r="H330" i="1" s="1"/>
  <c r="F310" i="1"/>
  <c r="H312" i="1"/>
  <c r="H310" i="1" s="1"/>
  <c r="F20" i="1"/>
  <c r="H12" i="1"/>
  <c r="H20" i="1" s="1"/>
  <c r="F199" i="1"/>
  <c r="H201" i="1"/>
  <c r="K201" i="1" s="1"/>
  <c r="F307" i="1"/>
  <c r="F411" i="1"/>
  <c r="H404" i="1"/>
  <c r="F262" i="1"/>
  <c r="H265" i="1"/>
  <c r="H262" i="1" s="1"/>
  <c r="K262" i="1" s="1"/>
  <c r="N262" i="1" s="1"/>
  <c r="S262" i="1" s="1"/>
  <c r="F355" i="1"/>
  <c r="H383" i="1"/>
  <c r="F24" i="1"/>
  <c r="H27" i="1"/>
  <c r="K27" i="1" s="1"/>
  <c r="N27" i="1" s="1"/>
  <c r="S27" i="1" s="1"/>
  <c r="H268" i="1"/>
  <c r="H266" i="1" s="1"/>
  <c r="F266" i="1"/>
  <c r="F359" i="1"/>
  <c r="F374" i="1"/>
  <c r="H376" i="1"/>
  <c r="G412" i="1"/>
  <c r="D24" i="1"/>
  <c r="D262" i="1"/>
  <c r="E400" i="1"/>
  <c r="F327" i="1"/>
  <c r="H327" i="1" s="1"/>
  <c r="E304" i="1"/>
  <c r="F384" i="1"/>
  <c r="H384" i="1" s="1"/>
  <c r="F416" i="1"/>
  <c r="H416" i="1" s="1"/>
  <c r="F336" i="1"/>
  <c r="H336" i="1" s="1"/>
  <c r="H334" i="1" s="1"/>
  <c r="F395" i="1"/>
  <c r="E21" i="1"/>
  <c r="D315" i="1"/>
  <c r="D199" i="1"/>
  <c r="D60" i="1"/>
  <c r="D185" i="1"/>
  <c r="D374" i="1"/>
  <c r="D9" i="1"/>
  <c r="D52" i="1"/>
  <c r="D69" i="1"/>
  <c r="D310" i="1"/>
  <c r="D20" i="1"/>
  <c r="C400" i="1"/>
  <c r="D266" i="1"/>
  <c r="D47" i="1"/>
  <c r="D296" i="1"/>
  <c r="N359" i="1" l="1"/>
  <c r="S359" i="1" s="1"/>
  <c r="N198" i="1"/>
  <c r="S198" i="1" s="1"/>
  <c r="H292" i="1"/>
  <c r="K294" i="1"/>
  <c r="K292" i="1" s="1"/>
  <c r="K207" i="1"/>
  <c r="N207" i="1" s="1"/>
  <c r="S207" i="1" s="1"/>
  <c r="K318" i="1"/>
  <c r="K315" i="1" s="1"/>
  <c r="K303" i="1"/>
  <c r="K384" i="1"/>
  <c r="N384" i="1" s="1"/>
  <c r="S384" i="1" s="1"/>
  <c r="H325" i="1"/>
  <c r="K327" i="1"/>
  <c r="K325" i="1" s="1"/>
  <c r="H199" i="1"/>
  <c r="K9" i="1"/>
  <c r="K63" i="1"/>
  <c r="K60" i="1" s="1"/>
  <c r="K296" i="1"/>
  <c r="H21" i="1"/>
  <c r="H47" i="1"/>
  <c r="K47" i="1" s="1"/>
  <c r="N47" i="1" s="1"/>
  <c r="S47" i="1" s="1"/>
  <c r="H300" i="1"/>
  <c r="K376" i="1"/>
  <c r="N376" i="1" s="1"/>
  <c r="S376" i="1" s="1"/>
  <c r="H374" i="1"/>
  <c r="K374" i="1" s="1"/>
  <c r="N374" i="1" s="1"/>
  <c r="S374" i="1" s="1"/>
  <c r="H315" i="1"/>
  <c r="N185" i="1"/>
  <c r="S185" i="1" s="1"/>
  <c r="K383" i="1"/>
  <c r="H381" i="1"/>
  <c r="K404" i="1"/>
  <c r="N404" i="1" s="1"/>
  <c r="S404" i="1" s="1"/>
  <c r="H411" i="1"/>
  <c r="K398" i="1"/>
  <c r="N398" i="1" s="1"/>
  <c r="S398" i="1" s="1"/>
  <c r="H396" i="1"/>
  <c r="K396" i="1" s="1"/>
  <c r="N396" i="1" s="1"/>
  <c r="S396" i="1" s="1"/>
  <c r="K370" i="1"/>
  <c r="N370" i="1" s="1"/>
  <c r="S370" i="1" s="1"/>
  <c r="H368" i="1"/>
  <c r="K368" i="1" s="1"/>
  <c r="N368" i="1" s="1"/>
  <c r="S368" i="1" s="1"/>
  <c r="K392" i="1"/>
  <c r="N392" i="1" s="1"/>
  <c r="S392" i="1" s="1"/>
  <c r="H390" i="1"/>
  <c r="K390" i="1" s="1"/>
  <c r="N390" i="1" s="1"/>
  <c r="S390" i="1" s="1"/>
  <c r="H24" i="1"/>
  <c r="N355" i="1"/>
  <c r="S355" i="1" s="1"/>
  <c r="H60" i="1"/>
  <c r="K330" i="1"/>
  <c r="N330" i="1" s="1"/>
  <c r="S330" i="1" s="1"/>
  <c r="K302" i="1"/>
  <c r="K336" i="1"/>
  <c r="N336" i="1" s="1"/>
  <c r="S336" i="1" s="1"/>
  <c r="K312" i="1"/>
  <c r="N312" i="1" s="1"/>
  <c r="S312" i="1" s="1"/>
  <c r="K310" i="1"/>
  <c r="N310" i="1" s="1"/>
  <c r="S310" i="1" s="1"/>
  <c r="K332" i="1"/>
  <c r="N332" i="1" s="1"/>
  <c r="S332" i="1" s="1"/>
  <c r="K265" i="1"/>
  <c r="N265" i="1" s="1"/>
  <c r="S265" i="1" s="1"/>
  <c r="N317" i="1"/>
  <c r="S317" i="1" s="1"/>
  <c r="K268" i="1"/>
  <c r="N201" i="1"/>
  <c r="S201" i="1" s="1"/>
  <c r="K210" i="1"/>
  <c r="N210" i="1" s="1"/>
  <c r="S210" i="1" s="1"/>
  <c r="K208" i="1"/>
  <c r="N208" i="1" s="1"/>
  <c r="S208" i="1" s="1"/>
  <c r="K49" i="1"/>
  <c r="N49" i="1" s="1"/>
  <c r="S49" i="1" s="1"/>
  <c r="I416" i="1"/>
  <c r="K416" i="1" s="1"/>
  <c r="N416" i="1" s="1"/>
  <c r="S416" i="1" s="1"/>
  <c r="K12" i="1"/>
  <c r="N12" i="1" s="1"/>
  <c r="S12" i="1" s="1"/>
  <c r="K52" i="1"/>
  <c r="K54" i="1"/>
  <c r="N54" i="1" s="1"/>
  <c r="S54" i="1" s="1"/>
  <c r="K66" i="1"/>
  <c r="N66" i="1" s="1"/>
  <c r="S66" i="1" s="1"/>
  <c r="K64" i="1"/>
  <c r="N64" i="1" s="1"/>
  <c r="S64" i="1" s="1"/>
  <c r="K71" i="1"/>
  <c r="F381" i="1"/>
  <c r="F325" i="1"/>
  <c r="F304" i="1"/>
  <c r="H395" i="1"/>
  <c r="K395" i="1" s="1"/>
  <c r="F393" i="1"/>
  <c r="K307" i="1"/>
  <c r="F334" i="1"/>
  <c r="E401" i="1"/>
  <c r="E412" i="1" s="1"/>
  <c r="D400" i="1"/>
  <c r="D21" i="1"/>
  <c r="F21" i="1" s="1"/>
  <c r="C401" i="1"/>
  <c r="C412" i="1" s="1"/>
  <c r="D304" i="1"/>
  <c r="N52" i="1" l="1"/>
  <c r="S52" i="1" s="1"/>
  <c r="N303" i="1"/>
  <c r="S303" i="1" s="1"/>
  <c r="N296" i="1"/>
  <c r="S296" i="1" s="1"/>
  <c r="N294" i="1"/>
  <c r="S294" i="1" s="1"/>
  <c r="N325" i="1"/>
  <c r="S325" i="1" s="1"/>
  <c r="N318" i="1"/>
  <c r="S318" i="1" s="1"/>
  <c r="N327" i="1"/>
  <c r="S327" i="1" s="1"/>
  <c r="N307" i="1"/>
  <c r="S307" i="1" s="1"/>
  <c r="K199" i="1"/>
  <c r="N199" i="1" s="1"/>
  <c r="S199" i="1" s="1"/>
  <c r="N9" i="1"/>
  <c r="S9" i="1" s="1"/>
  <c r="N302" i="1"/>
  <c r="S302" i="1" s="1"/>
  <c r="K300" i="1"/>
  <c r="N71" i="1"/>
  <c r="S71" i="1" s="1"/>
  <c r="K69" i="1"/>
  <c r="N69" i="1" s="1"/>
  <c r="S69" i="1" s="1"/>
  <c r="N268" i="1"/>
  <c r="S268" i="1" s="1"/>
  <c r="K266" i="1"/>
  <c r="N266" i="1" s="1"/>
  <c r="S266" i="1" s="1"/>
  <c r="N383" i="1"/>
  <c r="S383" i="1" s="1"/>
  <c r="K381" i="1"/>
  <c r="N381" i="1" s="1"/>
  <c r="S381" i="1" s="1"/>
  <c r="N315" i="1"/>
  <c r="S315" i="1" s="1"/>
  <c r="N63" i="1"/>
  <c r="S63" i="1" s="1"/>
  <c r="N60" i="1"/>
  <c r="S60" i="1" s="1"/>
  <c r="K393" i="1"/>
  <c r="N393" i="1" s="1"/>
  <c r="S393" i="1" s="1"/>
  <c r="N395" i="1"/>
  <c r="S395" i="1" s="1"/>
  <c r="K20" i="1"/>
  <c r="N20" i="1" s="1"/>
  <c r="S20" i="1" s="1"/>
  <c r="H304" i="1"/>
  <c r="H393" i="1"/>
  <c r="H400" i="1" s="1"/>
  <c r="K334" i="1"/>
  <c r="N334" i="1" s="1"/>
  <c r="S334" i="1" s="1"/>
  <c r="K24" i="1"/>
  <c r="F400" i="1"/>
  <c r="D401" i="1"/>
  <c r="D412" i="1" s="1"/>
  <c r="N300" i="1" l="1"/>
  <c r="S300" i="1" s="1"/>
  <c r="N292" i="1"/>
  <c r="S292" i="1" s="1"/>
  <c r="K21" i="1"/>
  <c r="N21" i="1" s="1"/>
  <c r="S21" i="1" s="1"/>
  <c r="K400" i="1"/>
  <c r="N400" i="1" s="1"/>
  <c r="S400" i="1" s="1"/>
  <c r="N24" i="1"/>
  <c r="S24" i="1" s="1"/>
  <c r="K304" i="1"/>
  <c r="N304" i="1" s="1"/>
  <c r="S304" i="1" s="1"/>
  <c r="H401" i="1"/>
  <c r="H412" i="1" s="1"/>
  <c r="F401" i="1"/>
  <c r="F412" i="1"/>
  <c r="K411" i="1"/>
  <c r="N411" i="1" s="1"/>
  <c r="S411" i="1" s="1"/>
  <c r="K401" i="1" l="1"/>
  <c r="N401" i="1" l="1"/>
  <c r="S401" i="1" s="1"/>
  <c r="K412" i="1"/>
  <c r="N412" i="1" s="1"/>
  <c r="S412" i="1" s="1"/>
</calcChain>
</file>

<file path=xl/sharedStrings.xml><?xml version="1.0" encoding="utf-8"?>
<sst xmlns="http://schemas.openxmlformats.org/spreadsheetml/2006/main" count="678" uniqueCount="403">
  <si>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</si>
  <si>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</si>
  <si>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</si>
  <si>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</si>
  <si>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</si>
  <si>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</si>
  <si>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</si>
  <si>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</si>
  <si>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</si>
  <si>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</si>
  <si>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</si>
  <si>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</si>
  <si>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</si>
  <si>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</si>
  <si>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</si>
  <si>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</si>
  <si>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</si>
  <si>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</si>
  <si>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</si>
  <si>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</si>
  <si>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</si>
  <si>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</si>
  <si>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</si>
  <si>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</si>
  <si>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</si>
  <si>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</si>
  <si>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</si>
  <si>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</si>
  <si>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</si>
  <si>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</si>
  <si>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</si>
  <si>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</si>
  <si>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</si>
  <si>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</si>
  <si>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</si>
  <si>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</si>
  <si>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</si>
  <si>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</si>
  <si>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</si>
  <si>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</si>
  <si>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</si>
  <si>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</si>
  <si>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</si>
  <si>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</si>
  <si>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</si>
  <si>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</si>
  <si>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</si>
  <si>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</si>
  <si>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</si>
  <si>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</si>
  <si>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</si>
  <si>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</si>
  <si>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</si>
  <si>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</si>
  <si>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</si>
  <si>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</si>
  <si>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</si>
  <si>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</si>
  <si>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</si>
  <si>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</si>
  <si>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</si>
  <si>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</si>
  <si>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</si>
  <si>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</si>
  <si>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</si>
  <si>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</si>
  <si>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</si>
  <si>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</si>
  <si>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</si>
  <si>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</si>
  <si>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</si>
  <si>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</si>
  <si>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</si>
  <si>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</si>
  <si>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</si>
  <si>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</si>
  <si>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</si>
  <si>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</si>
  <si>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</si>
  <si>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</si>
  <si>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</si>
  <si>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</si>
  <si>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</si>
  <si>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</si>
  <si>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</si>
  <si>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</si>
  <si>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</si>
  <si>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</si>
  <si>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</si>
  <si>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</si>
  <si>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</si>
  <si>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</si>
  <si>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</si>
  <si>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</si>
  <si>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</si>
  <si>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</si>
  <si>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</si>
  <si>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</si>
  <si>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</si>
  <si>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</si>
  <si>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</si>
  <si>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</si>
  <si>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</si>
  <si>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</si>
  <si>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</si>
  <si>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</si>
  <si>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</si>
  <si>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</si>
  <si>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</si>
  <si>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</si>
  <si>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</si>
  <si>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</si>
  <si>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</si>
  <si>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</si>
  <si>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</si>
  <si>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</si>
  <si>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</si>
  <si>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</si>
  <si>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</si>
  <si>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</si>
  <si>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</si>
  <si>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</si>
  <si>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</si>
  <si>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</si>
  <si>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</si>
  <si>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</si>
  <si>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</si>
  <si>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</si>
  <si>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</si>
  <si>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</si>
  <si>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</si>
  <si>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</si>
  <si>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</si>
  <si>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</si>
  <si>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</si>
  <si>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</si>
  <si>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</si>
  <si>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</si>
  <si>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</si>
  <si>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</si>
  <si>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</si>
  <si>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</si>
  <si>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</si>
  <si>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</si>
  <si>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</si>
  <si>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</si>
  <si>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</si>
  <si>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</si>
  <si>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</si>
  <si>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</si>
  <si>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</si>
  <si>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</si>
  <si>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</si>
  <si>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</si>
  <si>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</si>
  <si>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</si>
  <si>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</si>
  <si>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</si>
  <si>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</si>
  <si>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</si>
  <si>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</si>
  <si>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</si>
  <si>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</si>
  <si>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</si>
  <si>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</si>
  <si>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</si>
  <si>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</si>
  <si>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</si>
  <si>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</si>
  <si>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</si>
  <si>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</si>
  <si>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</si>
  <si>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</si>
  <si>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</si>
  <si>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</si>
  <si>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</si>
  <si>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</si>
  <si>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</si>
  <si>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</si>
  <si>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</si>
  <si>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</si>
  <si>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</si>
  <si>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</si>
  <si>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</si>
  <si>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</si>
  <si>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</si>
  <si>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</si>
  <si>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</si>
  <si>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</si>
  <si>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</si>
  <si>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</si>
  <si>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</si>
  <si>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</si>
  <si>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</si>
  <si>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</si>
  <si>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</si>
  <si>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</si>
  <si>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</si>
  <si>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</si>
  <si>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</si>
  <si>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</si>
  <si>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</si>
  <si>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</si>
  <si>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</si>
  <si>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</si>
  <si>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</si>
  <si>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</si>
  <si>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</si>
  <si>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</si>
  <si>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</si>
  <si>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</si>
  <si>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</si>
  <si>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</si>
  <si>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</si>
  <si>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</si>
  <si>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</si>
  <si>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</si>
  <si>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</si>
  <si>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</si>
  <si>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</si>
  <si>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</si>
  <si>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</si>
  <si>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</si>
  <si>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</si>
  <si>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</si>
  <si>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</si>
  <si>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</si>
  <si>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</si>
  <si>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</si>
  <si>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</si>
  <si>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</si>
  <si>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</si>
  <si>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</si>
  <si>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</si>
  <si>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</si>
  <si>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</si>
  <si>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</si>
  <si>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</si>
  <si>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</si>
  <si>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</si>
  <si>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</si>
  <si>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</si>
  <si>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</si>
  <si>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</si>
  <si>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</si>
  <si>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</si>
  <si>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</si>
  <si>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</si>
  <si>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</si>
  <si>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</si>
  <si>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</si>
  <si>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</si>
  <si>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</si>
  <si>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</si>
  <si>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</si>
  <si>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</si>
  <si>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</si>
  <si>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</si>
  <si>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</si>
  <si>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</si>
  <si>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</si>
  <si>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</si>
  <si>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</si>
  <si>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</si>
  <si>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</si>
  <si>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</si>
  <si>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</si>
  <si>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</si>
  <si>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</si>
  <si>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</si>
  <si>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</si>
  <si>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</si>
  <si>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</si>
  <si>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</si>
  <si>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</si>
  <si>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</si>
  <si>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</si>
  <si>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</si>
  <si>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</si>
  <si>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</si>
  <si>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</si>
  <si>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</si>
  <si>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</si>
  <si>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</si>
  <si>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</si>
  <si>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</si>
  <si>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</si>
  <si>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</si>
  <si>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</si>
  <si>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</si>
  <si>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</si>
  <si>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</si>
  <si>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</si>
  <si>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</si>
  <si>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</si>
  <si>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</si>
  <si>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</si>
  <si>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</si>
  <si>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</si>
  <si>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</si>
  <si>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</si>
  <si>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</si>
  <si>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</si>
  <si>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</si>
  <si>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</si>
  <si>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</si>
  <si>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</si>
  <si>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</si>
  <si>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</si>
  <si>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</si>
  <si>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</si>
  <si>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ProJantar s.r.o. - zabezpečení Galavečeru předávání Cen Jantar 2023</t>
  </si>
  <si>
    <t>Basketpoint FM, z. s. - Pořádání mládežnických turnajů mezinárodní basketbalové serie CEYBL</t>
  </si>
  <si>
    <t>1.1.2021 - 31.12.2024</t>
  </si>
  <si>
    <t>SH ČMS - Sbor dobrovolných hasičů Skalice - zabezpečení akce Slavnostní valná hromada k příležitosti 110 let sboru</t>
  </si>
  <si>
    <t>Petr Pobořil - zabezpečení akce Máj - Lásky čas</t>
  </si>
  <si>
    <t>Nemocnice ve F-M, p. o. - Beskydské ortopedické dny</t>
  </si>
  <si>
    <t>Navínko s.r.o. - zabezpečení akce Frýdek-Místek žije vínem 2024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</si>
  <si>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Beskydské pediatrické dny 2024</t>
    </r>
  </si>
  <si>
    <t>SH ČMS - Sbor dobrovolných hasičů Chlebovice - zabezpečení akce Dětský den s hasiči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</si>
  <si>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</si>
  <si>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</si>
  <si>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</si>
  <si>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</si>
  <si>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</si>
  <si>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Rozpočtová opatření RM                                  č. 35 - 63                                           (v tis. Kč)</t>
  </si>
  <si>
    <t>TJ Sokol Frýdek-Místek - XVII. Všesokolský slet v Praze</t>
  </si>
  <si>
    <t>Městská knihovna Frýdek-Místek - ÚZ 34070</t>
  </si>
  <si>
    <t>Repette, z. s. - na projekty "Vztahy jako výzva" a "Jdeme do toho"</t>
  </si>
  <si>
    <t>Slezská diakonie - BETHEL - nízkoprahové denní centrum</t>
  </si>
  <si>
    <t>1.1.2024 - 30.4.2024</t>
  </si>
  <si>
    <t>Modrý kříž v ČR - projekt "Zkus to s námi 2.0"</t>
  </si>
  <si>
    <t>1.7.2024 - 31.12.2024</t>
  </si>
  <si>
    <t>Nabytí nemovitých věcí zapsaných na LV č. 1662 v k. ú. Místek, obec Frýdek-Místek ("Český dům")</t>
  </si>
  <si>
    <t>MŠ Sněženka - investiční transfer na rekonstrukci odpadního a vodovodního potrubí - s vyúčtováním</t>
  </si>
  <si>
    <t>MŠ Radost - investiční transfer na výměnu podlahových krytin - s vyúčtováním</t>
  </si>
  <si>
    <t>MŠ Pohádka - investiční transfer na výměnu nákladního výtahu - s vyúčtováním</t>
  </si>
  <si>
    <t>Společenství vlastníků jednotek Lískovec 253 - individuální investiční dotace - napojení na kanalizaci</t>
  </si>
  <si>
    <t>1.1.2016 - 30.9.2024</t>
  </si>
  <si>
    <t>2. změna rozpočtu                         (v tis. Kč)</t>
  </si>
  <si>
    <t>Rozpočet roku 2024 po 1. změně a po rozpočtových opatřeních RM                  č. 1 - 73                                        (v tis. Kč)</t>
  </si>
  <si>
    <t>Taneční studio DANCEPOINT,  z. s. - zabezpečení Závěrečné taneční show - 19. sezóna</t>
  </si>
  <si>
    <t>Babylonie, z. s. - zabezpečení mezinárodního setkání mládeže s názvem "Pohni svým duchem"</t>
  </si>
  <si>
    <t>Way of Warrior z. s. - zabezpečení turnaje Mistrovství ČR v brazilském jiu jitsu a grapplingu</t>
  </si>
  <si>
    <t>Městská knihovna Frýdek-Místek - ÚZ 00345</t>
  </si>
  <si>
    <t>Městská knihovna Frýdek-Místek - neinvestiční dotace na realizaci projektu "Zpřístupnění Knihovny FM osobám se sluchovým postižením" - MK VISK 3 - ÚZ 34053</t>
  </si>
  <si>
    <t>Městská knihovna Frýdek-Místek - neinvestiční dotace na realizaci projektu "Zpřístupnění e-audioknih čtenářům Městské knihovny FM" - MK VISK 3 - ÚZ 34053</t>
  </si>
  <si>
    <t>TRDLA - divadelní společnost absolutních neherců, z. s. - projekt KLAUNOSANATORIUM</t>
  </si>
  <si>
    <t>Cesta bez bariér - oprava a údržba vozidel</t>
  </si>
  <si>
    <t>Městská knihovna Frýdek-Místek - investiční dotace na realizaci projektu "Zpřístupnění Knihovny FM osobám se sluchovým postižením" - MK VISK 3 - ÚZ 34544</t>
  </si>
  <si>
    <t>FbC Frýdek-Místek z.s. - mezinárodní florbalový turnaj pro mládež Prague Games 2024</t>
  </si>
  <si>
    <t>Český svaz chovatelů, z.s., Základní organizace Místek 1 - zabezpečení Výstavy holubů okrasných a strukturových plemen, drůbeže a králíků</t>
  </si>
  <si>
    <t>Zachování a obnova kulturních památek: Statutární město Frýdek-Místek - obnova domu č.p. 1166, ul. Těšínská, F-M - ÚZ 34054</t>
  </si>
  <si>
    <t>Zachování a obnova kulturních památek: Nadace ADRA, Praha - obnova městského domu č.p. 1242, Radniční, F-M - ÚZ 34054</t>
  </si>
  <si>
    <t>Zachování a obnova kulturních památek: NOVI REAL s.r.o., Ostrava - obnova městského domu č.p. 37, J. V. Sládka, F-M - ÚZ 34054</t>
  </si>
  <si>
    <t>Zachování a obnova kulturních památek: Mgr. Jaroslav Kocinec LL.M., Kunčice pod Ondřejníkem - obnova městského domu č.p. 1260, Zámecké náměstí, F-M - ÚZ 34054</t>
  </si>
  <si>
    <t>Zachování a obnova kulturních památek: Vladimír Šmaha, Vyšní Lhoty - obnova městského domu č.p. 33, náměstí Svobody, F-M - ÚZ 34054</t>
  </si>
  <si>
    <t>Turistické informační centrum Frýdek-Místek, p. o. - ÚZ 00674</t>
  </si>
  <si>
    <t>Rozpočtová opatření RM          č. 74 - 104                     (v tis. Kč)</t>
  </si>
  <si>
    <t>2.9.2024 - 30.6.2025</t>
  </si>
  <si>
    <t>ZŠ F-M, El. Krásnohorské 2254 - ÚZ 33093</t>
  </si>
  <si>
    <t>Centrum pečovatelské služby Frýdek-Místek, p. o. - investiční transfer na výměnu 2 ks plynových kotlů, vč. ohřívače vody - s vyúčtováním</t>
  </si>
  <si>
    <t>1.9.2024 - 31.12.2024</t>
  </si>
  <si>
    <t>ŽIRAFA - Integrované centrum Frýdek-Místek, p. o. - investiční transfer na nákup 4 XL bike boxu - s vyúčtováním</t>
  </si>
  <si>
    <t>ZŠ a MŠ Chlebovice</t>
  </si>
  <si>
    <t>3. změna rozpočtu                   (v tis. Kč)</t>
  </si>
  <si>
    <t>Rozpočet roku 2024 po 2. změně a po rozpočtových opatřeních RM                  č. 1 - 111                                        (v tis. Kč)</t>
  </si>
  <si>
    <t>MENS SANA, z. ú. - výtvarná aukce pro dobročinné účely</t>
  </si>
  <si>
    <t>Lumpíkov, z. ú. - projekt "Boj proti domácímu násilí"</t>
  </si>
  <si>
    <t>Nadační fond Pavla Novotného - Dny urologické prevence</t>
  </si>
  <si>
    <t>Středisko volného času Klíč - ÚZ 00910</t>
  </si>
  <si>
    <t>JO Tenisové Tréninkové centrum z. s. - "Mezinárodní turnaj ITF do 18 let"</t>
  </si>
  <si>
    <t>ZŠ a MŠ F-M, Lískovec - ÚZ 00333</t>
  </si>
  <si>
    <t>1.9.2024 - 30.6.2025</t>
  </si>
  <si>
    <t>ZŠ F-M J. z Poděbrad 3109 - ÚZ 00333</t>
  </si>
  <si>
    <t>sl. 7</t>
  </si>
  <si>
    <t>ZŠ nár. um. P. Bezruče, T.G.M. 454</t>
  </si>
  <si>
    <t>Rozpočtová opatření RM         č. 112 - 133</t>
  </si>
  <si>
    <t>TJ Sokol Frýdek-Místek - výdaje na účast taneční skupiny Funky Beat na Mistrovství Evropy v Chorvatsku EUROPEAN CHAMPIONSHIPS 2024</t>
  </si>
  <si>
    <t>TJ Sokol Frýdek-Místek - výdaje na účast taneční skupiny Funky Beat na Mistrovství světa v Makedonii IDO WORLD STREET DANCE CHAMPIONSHIPS 2024</t>
  </si>
  <si>
    <t>Interchess z.s. - MS mládeže v šachu</t>
  </si>
  <si>
    <t>4. změna rozpočtu                   (v tis. Kč)</t>
  </si>
  <si>
    <t>1.2.2024 - 30.6.2025</t>
  </si>
  <si>
    <t>ZŠ F-M, J. Čapka 2555 - ÚZ 00333</t>
  </si>
  <si>
    <t>1.9.2024 - 31.7.2025</t>
  </si>
  <si>
    <t>Armáda spásy v ČR, z.s. - prevence bezdomovectví</t>
  </si>
  <si>
    <t xml:space="preserve">Adámkova vila, Osobní asistence z. ú. </t>
  </si>
  <si>
    <t>1.8.2024 - 31.10.2024</t>
  </si>
  <si>
    <t>Turistické informační centrum Frýdek-Místek, p. o. - ÚZ 00694</t>
  </si>
  <si>
    <t>MIKASA, z. s. - sociální rehabilitace</t>
  </si>
  <si>
    <t>Rozpočet roku 2024 po 4. změně a po rozpočtových opatřeních RM                  č. 1 - 133                                        (v tis. Kč)</t>
  </si>
  <si>
    <t>Finanční dar na veřejnou sbírku "DARUJ F≈M - Pomoc Ukrajině"</t>
  </si>
  <si>
    <t>5. změna rozpočtu                    (v tis. Kč)</t>
  </si>
  <si>
    <t>ZŠ a MŠ Naděje, F-M, Škarabelova 562 - MŠ - ÚZ 00911</t>
  </si>
  <si>
    <t>ZŠ a MŠ Naděje, F-M, Škarabelova 562 - MŠ - ÚZ 00253</t>
  </si>
  <si>
    <t>ZŠ a MŠ Naděje, F-M, Škarabelova 562 - ZŠ - ÚZ 00911</t>
  </si>
  <si>
    <t>ZŠ a MŠ Naděje, F-M, Škarabelova 562 - ZŠ - ÚZ 00253</t>
  </si>
  <si>
    <t>sl. 8</t>
  </si>
  <si>
    <t>ZŠ F-M, El. Krásnohorské 2254 - ÚZ 00911</t>
  </si>
  <si>
    <t>ZŠ F-M, El. Krásnohorské 2254 - ÚZ 00253</t>
  </si>
  <si>
    <t>Rozpočtová opatření rady města č. 165 - 174 (v tis. Kč)</t>
  </si>
  <si>
    <t>Rozpočet roku 2024 po 5. změně a po rozpočtových opatřeních RM                  č. 1 - 174                                        (v tis. Kč)</t>
  </si>
  <si>
    <t>Rozpočtová opatření RM          č. 134 - 164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</si>
</sst>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4" fillId="0" borderId="16" xfId="0" applyNumberFormat="1" applyFont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right" vertical="center"/>
    </xf>
    <xf numFmtId="4" fontId="4" fillId="0" borderId="15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4" fontId="3" fillId="8" borderId="20" xfId="0" applyNumberFormat="1" applyFont="1" applyFill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/>
    </xf>
    <xf numFmtId="4" fontId="4" fillId="0" borderId="25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7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4" fontId="4" fillId="0" borderId="8" xfId="0" applyNumberFormat="1" applyFont="1" applyBorder="1"/>
    <xf numFmtId="4" fontId="4" fillId="0" borderId="15" xfId="0" applyNumberFormat="1" applyFont="1" applyBorder="1"/>
    <xf numFmtId="4" fontId="4" fillId="0" borderId="10" xfId="0" applyNumberFormat="1" applyFont="1" applyBorder="1"/>
    <xf numFmtId="4" fontId="4" fillId="0" borderId="13" xfId="0" applyNumberFormat="1" applyFont="1" applyBorder="1"/>
    <xf numFmtId="4" fontId="4" fillId="0" borderId="12" xfId="0" applyNumberFormat="1" applyFont="1" applyBorder="1"/>
    <xf numFmtId="4" fontId="4" fillId="0" borderId="21" xfId="0" applyNumberFormat="1" applyFont="1" applyBorder="1"/>
    <xf numFmtId="4" fontId="4" fillId="0" borderId="6" xfId="0" applyNumberFormat="1" applyFont="1" applyBorder="1"/>
    <xf numFmtId="4" fontId="4" fillId="3" borderId="10" xfId="0" applyNumberFormat="1" applyFont="1" applyFill="1" applyBorder="1"/>
    <xf numFmtId="4" fontId="4" fillId="0" borderId="10" xfId="0" applyNumberFormat="1" applyFont="1" applyBorder="1" applyAlignment="1">
      <alignment horizontal="right"/>
    </xf>
    <xf numFmtId="4" fontId="4" fillId="3" borderId="12" xfId="0" applyNumberFormat="1" applyFont="1" applyFill="1" applyBorder="1"/>
    <xf numFmtId="4" fontId="4" fillId="0" borderId="16" xfId="0" applyNumberFormat="1" applyFont="1" applyBorder="1"/>
    <xf numFmtId="4" fontId="4" fillId="0" borderId="22" xfId="0" applyNumberFormat="1" applyFont="1" applyBorder="1"/>
    <xf numFmtId="4" fontId="4" fillId="0" borderId="19" xfId="0" applyNumberFormat="1" applyFont="1" applyBorder="1"/>
    <xf numFmtId="4" fontId="4" fillId="0" borderId="24" xfId="0" applyNumberFormat="1" applyFont="1" applyBorder="1"/>
    <xf numFmtId="0" fontId="0" fillId="0" borderId="6" xfId="0" applyBorder="1"/>
    <xf numFmtId="0" fontId="0" fillId="4" borderId="3" xfId="0" applyFill="1" applyBorder="1"/>
    <xf numFmtId="4" fontId="0" fillId="0" borderId="6" xfId="0" applyNumberFormat="1" applyBorder="1"/>
    <xf numFmtId="4" fontId="0" fillId="5" borderId="3" xfId="0" applyNumberFormat="1" applyFill="1" applyBorder="1"/>
    <xf numFmtId="4" fontId="4" fillId="7" borderId="3" xfId="0" applyNumberFormat="1" applyFont="1" applyFill="1" applyBorder="1"/>
    <xf numFmtId="4" fontId="4" fillId="5" borderId="3" xfId="0" applyNumberFormat="1" applyFont="1" applyFill="1" applyBorder="1"/>
    <xf numFmtId="4" fontId="0" fillId="0" borderId="0" xfId="0" applyNumberFormat="1"/>
    <xf numFmtId="4" fontId="3" fillId="8" borderId="3" xfId="0" applyNumberFormat="1" applyFont="1" applyFill="1" applyBorder="1"/>
    <xf numFmtId="4" fontId="3" fillId="8" borderId="2" xfId="0" applyNumberFormat="1" applyFont="1" applyFill="1" applyBorder="1"/>
    <xf numFmtId="4" fontId="3" fillId="5" borderId="3" xfId="0" applyNumberFormat="1" applyFont="1" applyFill="1" applyBorder="1"/>
    <xf numFmtId="4" fontId="3" fillId="5" borderId="2" xfId="0" applyNumberFormat="1" applyFont="1" applyFill="1" applyBorder="1"/>
    <xf numFmtId="4" fontId="5" fillId="6" borderId="3" xfId="0" applyNumberFormat="1" applyFont="1" applyFill="1" applyBorder="1"/>
    <xf numFmtId="4" fontId="3" fillId="7" borderId="3" xfId="0" applyNumberFormat="1" applyFont="1" applyFill="1" applyBorder="1"/>
    <xf numFmtId="4" fontId="5" fillId="6" borderId="2" xfId="0" applyNumberFormat="1" applyFont="1" applyFill="1" applyBorder="1"/>
    <xf numFmtId="4" fontId="5" fillId="4" borderId="3" xfId="0" applyNumberFormat="1" applyFont="1" applyFill="1" applyBorder="1"/>
    <xf numFmtId="4" fontId="5" fillId="4" borderId="2" xfId="0" applyNumberFormat="1" applyFont="1" applyFill="1" applyBorder="1"/>
    <xf numFmtId="0" fontId="5" fillId="3" borderId="4" xfId="0" applyFont="1" applyFill="1" applyBorder="1" applyAlignment="1">
      <alignment vertical="center"/>
    </xf>
    <xf numFmtId="4" fontId="3" fillId="3" borderId="6" xfId="0" applyNumberFormat="1" applyFont="1" applyFill="1" applyBorder="1" applyAlignment="1">
      <alignment vertical="center"/>
    </xf>
    <xf numFmtId="4" fontId="4" fillId="3" borderId="8" xfId="0" applyNumberFormat="1" applyFont="1" applyFill="1" applyBorder="1"/>
    <xf numFmtId="4" fontId="4" fillId="3" borderId="13" xfId="0" applyNumberFormat="1" applyFont="1" applyFill="1" applyBorder="1"/>
    <xf numFmtId="4" fontId="6" fillId="0" borderId="13" xfId="0" applyNumberFormat="1" applyFont="1" applyBorder="1"/>
    <xf numFmtId="4" fontId="4" fillId="0" borderId="5" xfId="0" applyNumberFormat="1" applyFont="1" applyBorder="1"/>
    <xf numFmtId="4" fontId="4" fillId="0" borderId="26" xfId="0" applyNumberFormat="1" applyFont="1" applyBorder="1"/>
    <xf numFmtId="4" fontId="4" fillId="0" borderId="27" xfId="0" applyNumberFormat="1" applyFont="1" applyBorder="1"/>
    <xf numFmtId="4" fontId="4" fillId="0" borderId="28" xfId="0" applyNumberFormat="1" applyFont="1" applyBorder="1"/>
    <xf numFmtId="4" fontId="4" fillId="0" borderId="25" xfId="0" applyNumberFormat="1" applyFont="1" applyBorder="1"/>
    <xf numFmtId="0" fontId="3" fillId="8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4" fontId="4" fillId="0" borderId="23" xfId="0" applyNumberFormat="1" applyFont="1" applyBorder="1"/>
    <xf numFmtId="4" fontId="5" fillId="4" borderId="20" xfId="0" applyNumberFormat="1" applyFont="1" applyFill="1" applyBorder="1"/>
    <xf numFmtId="4" fontId="4" fillId="5" borderId="20" xfId="0" applyNumberFormat="1" applyFont="1" applyFill="1" applyBorder="1"/>
    <xf numFmtId="4" fontId="3" fillId="5" borderId="20" xfId="0" applyNumberFormat="1" applyFont="1" applyFill="1" applyBorder="1"/>
    <xf numFmtId="4" fontId="5" fillId="6" borderId="20" xfId="0" applyNumberFormat="1" applyFont="1" applyFill="1" applyBorder="1"/>
    <xf numFmtId="4" fontId="4" fillId="7" borderId="20" xfId="0" applyNumberFormat="1" applyFont="1" applyFill="1" applyBorder="1"/>
    <xf numFmtId="4" fontId="3" fillId="8" borderId="20" xfId="0" applyNumberFormat="1" applyFont="1" applyFill="1" applyBorder="1"/>
    <xf numFmtId="4" fontId="3" fillId="7" borderId="20" xfId="0" applyNumberFormat="1" applyFont="1" applyFill="1" applyBorder="1"/>
    <xf numFmtId="4" fontId="4" fillId="0" borderId="18" xfId="0" applyNumberFormat="1" applyFont="1" applyBorder="1"/>
    <xf numFmtId="4" fontId="4" fillId="0" borderId="29" xfId="0" applyNumberFormat="1" applyFont="1" applyBorder="1"/>
    <xf numFmtId="4" fontId="4" fillId="0" borderId="30" xfId="0" applyNumberFormat="1" applyFont="1" applyBorder="1"/>
    <xf numFmtId="0" fontId="4" fillId="3" borderId="6" xfId="0" applyFont="1" applyFill="1" applyBorder="1" applyAlignment="1">
      <alignment horizontal="center" vertical="center"/>
    </xf>
    <xf numFmtId="4" fontId="4" fillId="3" borderId="6" xfId="0" applyNumberFormat="1" applyFont="1" applyFill="1" applyBorder="1"/>
    <xf numFmtId="4" fontId="4" fillId="3" borderId="24" xfId="0" applyNumberFormat="1" applyFont="1" applyFill="1" applyBorder="1"/>
    <xf numFmtId="4" fontId="4" fillId="3" borderId="19" xfId="0" applyNumberFormat="1" applyFont="1" applyFill="1" applyBorder="1"/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/>
    </xf>
    <xf numFmtId="0" fontId="0" fillId="0" borderId="32" xfId="0" applyBorder="1"/>
    <xf numFmtId="0" fontId="0" fillId="4" borderId="31" xfId="0" applyFill="1" applyBorder="1"/>
    <xf numFmtId="4" fontId="4" fillId="0" borderId="33" xfId="0" applyNumberFormat="1" applyFont="1" applyBorder="1"/>
    <xf numFmtId="4" fontId="4" fillId="0" borderId="32" xfId="0" applyNumberFormat="1" applyFont="1" applyBorder="1"/>
    <xf numFmtId="4" fontId="5" fillId="4" borderId="31" xfId="0" applyNumberFormat="1" applyFont="1" applyFill="1" applyBorder="1"/>
    <xf numFmtId="4" fontId="4" fillId="5" borderId="31" xfId="0" applyNumberFormat="1" applyFont="1" applyFill="1" applyBorder="1"/>
    <xf numFmtId="4" fontId="3" fillId="5" borderId="31" xfId="0" applyNumberFormat="1" applyFont="1" applyFill="1" applyBorder="1"/>
    <xf numFmtId="4" fontId="5" fillId="6" borderId="31" xfId="0" applyNumberFormat="1" applyFont="1" applyFill="1" applyBorder="1"/>
    <xf numFmtId="4" fontId="4" fillId="7" borderId="31" xfId="0" applyNumberFormat="1" applyFont="1" applyFill="1" applyBorder="1"/>
    <xf numFmtId="4" fontId="3" fillId="8" borderId="31" xfId="0" applyNumberFormat="1" applyFont="1" applyFill="1" applyBorder="1"/>
    <xf numFmtId="4" fontId="4" fillId="0" borderId="34" xfId="0" applyNumberFormat="1" applyFont="1" applyBorder="1"/>
    <xf numFmtId="4" fontId="3" fillId="7" borderId="31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0" fillId="0" borderId="5" xfId="0" applyBorder="1"/>
    <xf numFmtId="0" fontId="0" fillId="4" borderId="2" xfId="0" applyFill="1" applyBorder="1"/>
    <xf numFmtId="4" fontId="4" fillId="5" borderId="2" xfId="0" applyNumberFormat="1" applyFont="1" applyFill="1" applyBorder="1"/>
    <xf numFmtId="4" fontId="4" fillId="7" borderId="2" xfId="0" applyNumberFormat="1" applyFont="1" applyFill="1" applyBorder="1"/>
    <xf numFmtId="4" fontId="3" fillId="7" borderId="2" xfId="0" applyNumberFormat="1" applyFont="1" applyFill="1" applyBorder="1"/>
    <xf numFmtId="4" fontId="4" fillId="3" borderId="29" xfId="0" applyNumberFormat="1" applyFont="1" applyFill="1" applyBorder="1"/>
    <xf numFmtId="4" fontId="4" fillId="0" borderId="35" xfId="0" applyNumberFormat="1" applyFont="1" applyBorder="1"/>
    <xf numFmtId="0" fontId="6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/>
    </xf>
    <xf numFmtId="4" fontId="4" fillId="3" borderId="23" xfId="0" applyNumberFormat="1" applyFont="1" applyFill="1" applyBorder="1"/>
    <xf numFmtId="0" fontId="6" fillId="3" borderId="12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" fontId="4" fillId="0" borderId="38" xfId="0" applyNumberFormat="1" applyFont="1" applyBorder="1" applyAlignment="1">
      <alignment vertical="center"/>
    </xf>
    <xf numFmtId="4" fontId="4" fillId="0" borderId="37" xfId="0" applyNumberFormat="1" applyFont="1" applyBorder="1" applyAlignment="1">
      <alignment vertical="center"/>
    </xf>
    <xf numFmtId="4" fontId="4" fillId="0" borderId="39" xfId="0" applyNumberFormat="1" applyFont="1" applyBorder="1"/>
    <xf numFmtId="4" fontId="4" fillId="0" borderId="37" xfId="0" applyNumberFormat="1" applyFont="1" applyBorder="1"/>
    <xf numFmtId="4" fontId="4" fillId="0" borderId="38" xfId="0" applyNumberFormat="1" applyFont="1" applyBorder="1"/>
    <xf numFmtId="4" fontId="4" fillId="0" borderId="40" xfId="0" applyNumberFormat="1" applyFont="1" applyBorder="1"/>
    <xf numFmtId="0" fontId="7" fillId="7" borderId="3" xfId="0" applyFont="1" applyFill="1" applyBorder="1" applyAlignment="1">
      <alignment horizontal="center" vertical="center"/>
    </xf>
    <xf numFmtId="4" fontId="4" fillId="3" borderId="41" xfId="0" applyNumberFormat="1" applyFont="1" applyFill="1" applyBorder="1"/>
    <xf numFmtId="0" fontId="4" fillId="0" borderId="42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4" fontId="4" fillId="3" borderId="5" xfId="0" applyNumberFormat="1" applyFont="1" applyFill="1" applyBorder="1"/>
    <xf numFmtId="0" fontId="3" fillId="5" borderId="43" xfId="0" applyFont="1" applyFill="1" applyBorder="1" applyAlignment="1">
      <alignment vertical="center" wrapText="1"/>
    </xf>
    <xf numFmtId="4" fontId="4" fillId="5" borderId="47" xfId="0" applyNumberFormat="1" applyFont="1" applyFill="1" applyBorder="1"/>
    <xf numFmtId="4" fontId="4" fillId="0" borderId="50" xfId="0" applyNumberFormat="1" applyFont="1" applyBorder="1" applyAlignment="1">
      <alignment vertical="center"/>
    </xf>
    <xf numFmtId="4" fontId="4" fillId="0" borderId="49" xfId="0" applyNumberFormat="1" applyFont="1" applyBorder="1" applyAlignment="1">
      <alignment vertical="center"/>
    </xf>
    <xf numFmtId="4" fontId="4" fillId="0" borderId="49" xfId="0" applyNumberFormat="1" applyFont="1" applyBorder="1"/>
    <xf numFmtId="4" fontId="4" fillId="0" borderId="51" xfId="0" applyNumberFormat="1" applyFont="1" applyBorder="1"/>
    <xf numFmtId="4" fontId="4" fillId="0" borderId="50" xfId="0" applyNumberFormat="1" applyFont="1" applyBorder="1"/>
    <xf numFmtId="4" fontId="4" fillId="0" borderId="52" xfId="0" applyNumberFormat="1" applyFont="1" applyBorder="1"/>
    <xf numFmtId="4" fontId="4" fillId="0" borderId="12" xfId="0" applyNumberFormat="1" applyFont="1" applyBorder="1" applyAlignment="1">
      <alignment horizontal="right"/>
    </xf>
    <xf numFmtId="0" fontId="3" fillId="5" borderId="44" xfId="0" applyFont="1" applyFill="1" applyBorder="1" applyAlignment="1">
      <alignment horizontal="center" vertical="center"/>
    </xf>
    <xf numFmtId="4" fontId="7" fillId="5" borderId="44" xfId="0" applyNumberFormat="1" applyFont="1" applyFill="1" applyBorder="1"/>
    <xf numFmtId="4" fontId="7" fillId="5" borderId="45" xfId="0" applyNumberFormat="1" applyFont="1" applyFill="1" applyBorder="1"/>
    <xf numFmtId="4" fontId="7" fillId="5" borderId="53" xfId="0" applyNumberFormat="1" applyFont="1" applyFill="1" applyBorder="1"/>
    <xf numFmtId="4" fontId="3" fillId="5" borderId="44" xfId="0" applyNumberFormat="1" applyFont="1" applyFill="1" applyBorder="1"/>
    <xf numFmtId="4" fontId="3" fillId="5" borderId="46" xfId="0" applyNumberFormat="1" applyFont="1" applyFill="1" applyBorder="1"/>
    <xf numFmtId="4" fontId="3" fillId="5" borderId="45" xfId="0" applyNumberFormat="1" applyFont="1" applyFill="1" applyBorder="1"/>
    <xf numFmtId="4" fontId="12" fillId="5" borderId="44" xfId="0" applyNumberFormat="1" applyFont="1" applyFill="1" applyBorder="1"/>
    <xf numFmtId="4" fontId="12" fillId="5" borderId="45" xfId="0" applyNumberFormat="1" applyFont="1" applyFill="1" applyBorder="1"/>
    <xf numFmtId="0" fontId="4" fillId="0" borderId="48" xfId="0" applyFont="1" applyBorder="1" applyAlignment="1">
      <alignment vertical="center" wrapText="1"/>
    </xf>
    <xf numFmtId="0" fontId="4" fillId="0" borderId="49" xfId="0" applyFont="1" applyBorder="1" applyAlignment="1">
      <alignment horizontal="center" vertical="center"/>
    </xf>
    <xf numFmtId="4" fontId="4" fillId="0" borderId="49" xfId="0" applyNumberFormat="1" applyFont="1" applyBorder="1" applyAlignment="1">
      <alignment horizontal="right" vertical="center"/>
    </xf>
    <xf numFmtId="4" fontId="4" fillId="0" borderId="54" xfId="0" applyNumberFormat="1" applyFont="1" applyBorder="1" applyAlignment="1">
      <alignment vertical="center"/>
    </xf>
    <xf numFmtId="0" fontId="5" fillId="3" borderId="36" xfId="0" applyFont="1" applyFill="1" applyBorder="1" applyAlignment="1">
      <alignment vertical="center" wrapText="1"/>
    </xf>
    <xf numFmtId="0" fontId="5" fillId="3" borderId="37" xfId="0" applyFont="1" applyFill="1" applyBorder="1" applyAlignment="1">
      <alignment horizontal="center" vertical="center"/>
    </xf>
    <xf numFmtId="4" fontId="5" fillId="3" borderId="37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/>
    </xf>
    <xf numFmtId="4" fontId="4" fillId="0" borderId="0" xfId="0" applyNumberFormat="1" applyFont="1"/>
    <xf numFmtId="4" fontId="4" fillId="3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T419"/>
  <sheetViews>
    <sheetView tabSelected="1" view="pageLayout" zoomScale="110" zoomScaleNormal="100" zoomScalePageLayoutView="110" workbookViewId="0">
      <selection activeCell="B428" sqref="B428"/>
    </sheetView>
  </sheetViews>
  <sheetFormatPr defaultColWidth="9.140625" defaultRowHeight="15" x14ac:dyDescent="0.25"/>
  <cols>
    <col min="1" max="1" width="42.28515625" customWidth="1"/>
    <col min="2" max="2" width="15.42578125" customWidth="1"/>
    <col min="3" max="3" width="13" customWidth="1"/>
    <col min="4" max="5" width="13.42578125" hidden="1" customWidth="1"/>
    <col min="6" max="8" width="13.140625" hidden="1" customWidth="1"/>
    <col min="9" max="9" width="10.140625" hidden="1" customWidth="1"/>
    <col min="10" max="10" width="11.42578125" hidden="1" customWidth="1"/>
    <col min="11" max="11" width="13.140625" hidden="1" customWidth="1"/>
    <col min="12" max="12" width="10.85546875" hidden="1" customWidth="1"/>
    <col min="13" max="13" width="11.7109375" hidden="1" customWidth="1"/>
    <col min="14" max="14" width="13" customWidth="1"/>
    <col min="15" max="15" width="12.5703125" hidden="1" customWidth="1"/>
    <col min="16" max="16" width="12.140625" customWidth="1"/>
    <col min="17" max="17" width="11.28515625" customWidth="1"/>
    <col min="18" max="18" width="11.85546875" customWidth="1"/>
    <col min="19" max="19" width="13" customWidth="1"/>
    <col min="20" max="20" width="11.85546875" bestFit="1" customWidth="1"/>
    <col min="21" max="21" width="11" customWidth="1"/>
  </cols>
  <sheetData>
    <row r="1" spans="1:20" ht="72" customHeight="1" thickBot="1" x14ac:dyDescent="0.3">
      <c r="A1" s="1" t="s">
        <v>0</v>
      </c>
      <c r="B1" s="2" t="s">
        <v>1</v>
      </c>
      <c r="C1" s="3" t="s">
        <v>2</v>
      </c>
      <c r="D1" s="3" t="s">
        <v>290</v>
      </c>
      <c r="E1" s="79" t="s">
        <v>291</v>
      </c>
      <c r="F1" s="3" t="s">
        <v>292</v>
      </c>
      <c r="G1" s="94" t="s">
        <v>325</v>
      </c>
      <c r="H1" s="3" t="s">
        <v>340</v>
      </c>
      <c r="I1" s="3" t="s">
        <v>339</v>
      </c>
      <c r="J1" s="3" t="s">
        <v>358</v>
      </c>
      <c r="K1" s="3" t="s">
        <v>366</v>
      </c>
      <c r="L1" s="3" t="s">
        <v>365</v>
      </c>
      <c r="M1" s="2" t="s">
        <v>377</v>
      </c>
      <c r="N1" s="3" t="s">
        <v>390</v>
      </c>
      <c r="O1" s="3" t="s">
        <v>381</v>
      </c>
      <c r="P1" s="3" t="s">
        <v>402</v>
      </c>
      <c r="Q1" s="3" t="s">
        <v>392</v>
      </c>
      <c r="R1" s="3" t="s">
        <v>400</v>
      </c>
      <c r="S1" s="161" t="s">
        <v>401</v>
      </c>
    </row>
    <row r="2" spans="1:20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80" t="s">
        <v>7</v>
      </c>
      <c r="F2" s="6" t="s">
        <v>6</v>
      </c>
      <c r="G2" s="99" t="s">
        <v>7</v>
      </c>
      <c r="H2" s="6" t="s">
        <v>6</v>
      </c>
      <c r="I2" s="6" t="s">
        <v>7</v>
      </c>
      <c r="J2" s="6" t="s">
        <v>268</v>
      </c>
      <c r="K2" s="6" t="s">
        <v>6</v>
      </c>
      <c r="L2" s="6" t="s">
        <v>7</v>
      </c>
      <c r="M2" s="175" t="s">
        <v>268</v>
      </c>
      <c r="N2" s="6" t="s">
        <v>6</v>
      </c>
      <c r="O2" s="6" t="s">
        <v>7</v>
      </c>
      <c r="P2" s="6" t="s">
        <v>7</v>
      </c>
      <c r="Q2" s="175" t="s">
        <v>268</v>
      </c>
      <c r="R2" s="6" t="s">
        <v>375</v>
      </c>
      <c r="S2" s="162" t="s">
        <v>397</v>
      </c>
    </row>
    <row r="3" spans="1:20" ht="9.75" customHeight="1" thickBot="1" x14ac:dyDescent="0.3">
      <c r="A3" s="7"/>
      <c r="B3" s="8"/>
      <c r="C3" s="9"/>
      <c r="D3" s="9"/>
      <c r="E3" s="227"/>
      <c r="F3" s="9"/>
      <c r="G3" s="95"/>
      <c r="H3" s="116"/>
      <c r="I3" s="116"/>
      <c r="J3" s="116"/>
      <c r="K3" s="116"/>
      <c r="L3" s="116"/>
      <c r="M3" s="176"/>
      <c r="N3" s="116"/>
      <c r="O3" s="116"/>
      <c r="P3" s="116"/>
      <c r="Q3" s="176"/>
      <c r="R3" s="116"/>
      <c r="S3" s="163"/>
    </row>
    <row r="4" spans="1:20" ht="16.5" customHeight="1" thickBot="1" x14ac:dyDescent="0.3">
      <c r="A4" s="10" t="s">
        <v>8</v>
      </c>
      <c r="B4" s="11"/>
      <c r="C4" s="12"/>
      <c r="D4" s="13"/>
      <c r="E4" s="81"/>
      <c r="F4" s="97"/>
      <c r="G4" s="98"/>
      <c r="H4" s="117"/>
      <c r="I4" s="117"/>
      <c r="J4" s="117"/>
      <c r="K4" s="117"/>
      <c r="L4" s="117"/>
      <c r="M4" s="177"/>
      <c r="N4" s="117"/>
      <c r="O4" s="117"/>
      <c r="P4" s="117"/>
      <c r="Q4" s="177"/>
      <c r="R4" s="117"/>
      <c r="S4" s="164"/>
    </row>
    <row r="5" spans="1:20" ht="15" customHeight="1" x14ac:dyDescent="0.25">
      <c r="A5" s="14" t="s">
        <v>9</v>
      </c>
      <c r="B5" s="15"/>
      <c r="C5" s="102">
        <v>1236720</v>
      </c>
      <c r="D5" s="102">
        <v>0</v>
      </c>
      <c r="E5" s="102">
        <v>4377.25</v>
      </c>
      <c r="F5" s="102">
        <f>SUM(C5:E5)</f>
        <v>1241097.25</v>
      </c>
      <c r="G5" s="102">
        <f>0</f>
        <v>0</v>
      </c>
      <c r="H5" s="102">
        <f>SUM(F5:G5)</f>
        <v>1241097.25</v>
      </c>
      <c r="I5" s="102">
        <v>152</v>
      </c>
      <c r="J5" s="102">
        <v>0</v>
      </c>
      <c r="K5" s="102">
        <f>SUM(H5:J5)</f>
        <v>1241249.25</v>
      </c>
      <c r="L5" s="102">
        <f>500</f>
        <v>500</v>
      </c>
      <c r="M5" s="102">
        <v>0</v>
      </c>
      <c r="N5" s="102">
        <f>SUM(K5:M5)</f>
        <v>1241749.25</v>
      </c>
      <c r="O5" s="102">
        <v>0</v>
      </c>
      <c r="P5" s="102">
        <v>0</v>
      </c>
      <c r="Q5" s="103">
        <f>2100</f>
        <v>2100</v>
      </c>
      <c r="R5" s="102">
        <v>0</v>
      </c>
      <c r="S5" s="165">
        <f>SUM(N5:R5)</f>
        <v>1243849.25</v>
      </c>
    </row>
    <row r="6" spans="1:20" ht="15" customHeight="1" x14ac:dyDescent="0.25">
      <c r="A6" s="14" t="s">
        <v>10</v>
      </c>
      <c r="B6" s="15"/>
      <c r="C6" s="104">
        <v>183315</v>
      </c>
      <c r="D6" s="104">
        <f>464.64+421.2+355.59</f>
        <v>1241.4299999999998</v>
      </c>
      <c r="E6" s="104">
        <v>5579.59</v>
      </c>
      <c r="F6" s="104">
        <f>SUM(C6:E6)</f>
        <v>190136.02</v>
      </c>
      <c r="G6" s="104">
        <f>583.66+0.1+68.97+402.9+5.47</f>
        <v>1061.1000000000001</v>
      </c>
      <c r="H6" s="104">
        <f>SUM(F6:G6)+330.04</f>
        <v>191527.16</v>
      </c>
      <c r="I6" s="104">
        <v>43292</v>
      </c>
      <c r="J6" s="104">
        <f>406.33+116.06+732.53+22.2</f>
        <v>1277.1200000000001</v>
      </c>
      <c r="K6" s="104">
        <f>SUM(H6:J6)+795.97</f>
        <v>236892.25</v>
      </c>
      <c r="L6" s="104">
        <f>5643.66+3000</f>
        <v>8643.66</v>
      </c>
      <c r="M6" s="104">
        <f>371.88</f>
        <v>371.88</v>
      </c>
      <c r="N6" s="104">
        <f t="shared" ref="N6:N39" si="0">SUM(K6:M6)</f>
        <v>245907.79</v>
      </c>
      <c r="O6" s="104">
        <v>0</v>
      </c>
      <c r="P6" s="104">
        <f>70.87+35.84+139.37</f>
        <v>246.08</v>
      </c>
      <c r="Q6" s="105">
        <f>30429.14</f>
        <v>30429.14</v>
      </c>
      <c r="R6" s="104">
        <f>121.8</f>
        <v>121.8</v>
      </c>
      <c r="S6" s="173">
        <f>SUM(N6:R6)</f>
        <v>276704.81</v>
      </c>
    </row>
    <row r="7" spans="1:20" ht="15" customHeight="1" x14ac:dyDescent="0.25">
      <c r="A7" s="17" t="s">
        <v>11</v>
      </c>
      <c r="B7" s="18"/>
      <c r="C7" s="104">
        <v>1500</v>
      </c>
      <c r="D7" s="104">
        <v>0</v>
      </c>
      <c r="E7" s="104">
        <v>0</v>
      </c>
      <c r="F7" s="104">
        <f t="shared" ref="F7:F8" si="1">SUM(C7:E7)</f>
        <v>1500</v>
      </c>
      <c r="G7" s="104">
        <f>0</f>
        <v>0</v>
      </c>
      <c r="H7" s="104">
        <f t="shared" ref="H7:H90" si="2">SUM(F7:G7)</f>
        <v>1500</v>
      </c>
      <c r="I7" s="104">
        <v>5160</v>
      </c>
      <c r="J7" s="104">
        <v>0</v>
      </c>
      <c r="K7" s="104">
        <f t="shared" ref="K7:K24" si="3">SUM(H7:J7)</f>
        <v>6660</v>
      </c>
      <c r="L7" s="104">
        <f>5294</f>
        <v>5294</v>
      </c>
      <c r="M7" s="104">
        <v>0</v>
      </c>
      <c r="N7" s="104">
        <f t="shared" si="0"/>
        <v>11954</v>
      </c>
      <c r="O7" s="104">
        <v>0</v>
      </c>
      <c r="P7" s="104">
        <v>0</v>
      </c>
      <c r="Q7" s="105">
        <f>59926.99</f>
        <v>59926.99</v>
      </c>
      <c r="R7" s="104">
        <v>0</v>
      </c>
      <c r="S7" s="173">
        <f>SUM(N7:R7)</f>
        <v>71880.989999999991</v>
      </c>
    </row>
    <row r="8" spans="1:20" ht="13.5" customHeight="1" thickBot="1" x14ac:dyDescent="0.3">
      <c r="A8" s="20" t="s">
        <v>12</v>
      </c>
      <c r="B8" s="21"/>
      <c r="C8" s="106">
        <v>153641.62</v>
      </c>
      <c r="D8" s="106">
        <f>185.4+331.56</f>
        <v>516.96</v>
      </c>
      <c r="E8" s="106">
        <v>1195.6199999999999</v>
      </c>
      <c r="F8" s="106">
        <f t="shared" si="1"/>
        <v>155354.19999999998</v>
      </c>
      <c r="G8" s="106">
        <f>0+217+59749.9-402.9+15</f>
        <v>59579</v>
      </c>
      <c r="H8" s="106">
        <f>SUM(F8:G8)+3673</f>
        <v>218606.19999999998</v>
      </c>
      <c r="I8" s="106">
        <v>0</v>
      </c>
      <c r="J8" s="106">
        <f>344.5+20631.57+4659.43+835+1088+4268.34</f>
        <v>31826.84</v>
      </c>
      <c r="K8" s="106">
        <f>SUM(H8:J8)+226</f>
        <v>250659.03999999998</v>
      </c>
      <c r="L8" s="106">
        <f>4569</f>
        <v>4569</v>
      </c>
      <c r="M8" s="106">
        <f>2133.12-0.27</f>
        <v>2132.85</v>
      </c>
      <c r="N8" s="106">
        <f t="shared" si="0"/>
        <v>257360.88999999998</v>
      </c>
      <c r="O8" s="106">
        <v>0</v>
      </c>
      <c r="P8" s="106">
        <f>268.2+4318+2259.44+27.59</f>
        <v>6873.23</v>
      </c>
      <c r="Q8" s="107">
        <f>262.22</f>
        <v>262.22000000000003</v>
      </c>
      <c r="R8" s="106">
        <f>193.89+50+27.4</f>
        <v>271.28999999999996</v>
      </c>
      <c r="S8" s="182">
        <f>SUM(N8:R8)</f>
        <v>264767.62999999995</v>
      </c>
    </row>
    <row r="9" spans="1:20" ht="16.5" customHeight="1" thickBot="1" x14ac:dyDescent="0.3">
      <c r="A9" s="23" t="s">
        <v>13</v>
      </c>
      <c r="B9" s="24"/>
      <c r="C9" s="130">
        <f>SUM(C5:C8)</f>
        <v>1575176.62</v>
      </c>
      <c r="D9" s="130">
        <f t="shared" ref="D9:G9" si="4">SUM(D5:D8)</f>
        <v>1758.3899999999999</v>
      </c>
      <c r="E9" s="131">
        <f t="shared" si="4"/>
        <v>11152.46</v>
      </c>
      <c r="F9" s="130">
        <f t="shared" si="4"/>
        <v>1588087.47</v>
      </c>
      <c r="G9" s="130">
        <f t="shared" si="4"/>
        <v>60640.1</v>
      </c>
      <c r="H9" s="130">
        <f t="shared" ref="H9:M9" si="5">SUM(H5:H8)</f>
        <v>1652730.6099999999</v>
      </c>
      <c r="I9" s="130">
        <f t="shared" si="5"/>
        <v>48604</v>
      </c>
      <c r="J9" s="130">
        <f t="shared" si="5"/>
        <v>33103.96</v>
      </c>
      <c r="K9" s="145">
        <f t="shared" si="5"/>
        <v>1735460.54</v>
      </c>
      <c r="L9" s="130">
        <f t="shared" si="5"/>
        <v>19006.66</v>
      </c>
      <c r="M9" s="131">
        <f t="shared" si="5"/>
        <v>2504.73</v>
      </c>
      <c r="N9" s="130">
        <f>SUM(K9:M9)</f>
        <v>1756971.93</v>
      </c>
      <c r="O9" s="130">
        <f>SUM(O5:O8)</f>
        <v>0</v>
      </c>
      <c r="P9" s="130">
        <f>SUM(P5:P8)</f>
        <v>7119.3099999999995</v>
      </c>
      <c r="Q9" s="131">
        <f>SUM(Q5:Q8)</f>
        <v>92718.35</v>
      </c>
      <c r="R9" s="130">
        <f>SUM(R5:R8)</f>
        <v>393.09</v>
      </c>
      <c r="S9" s="167">
        <f>SUM(N9:R9)</f>
        <v>1857202.6800000002</v>
      </c>
      <c r="T9" s="122"/>
    </row>
    <row r="10" spans="1:20" ht="15" customHeight="1" thickBot="1" x14ac:dyDescent="0.3">
      <c r="A10" s="25"/>
      <c r="B10" s="26"/>
      <c r="C10" s="27"/>
      <c r="D10" s="27"/>
      <c r="E10" s="85"/>
      <c r="F10" s="27"/>
      <c r="G10" s="27"/>
      <c r="H10" s="118"/>
      <c r="I10" s="118"/>
      <c r="J10" s="118"/>
      <c r="K10" s="228"/>
      <c r="L10" s="108"/>
      <c r="M10" s="137"/>
      <c r="N10" s="108"/>
      <c r="O10" s="108"/>
      <c r="P10" s="108"/>
      <c r="Q10" s="137"/>
      <c r="R10" s="108"/>
      <c r="S10" s="166"/>
    </row>
    <row r="11" spans="1:20" ht="15" customHeight="1" thickBot="1" x14ac:dyDescent="0.3">
      <c r="A11" s="28" t="s">
        <v>14</v>
      </c>
      <c r="B11" s="29"/>
      <c r="C11" s="30"/>
      <c r="D11" s="30"/>
      <c r="E11" s="86"/>
      <c r="F11" s="30"/>
      <c r="G11" s="30"/>
      <c r="H11" s="119"/>
      <c r="I11" s="119"/>
      <c r="J11" s="119"/>
      <c r="K11" s="146"/>
      <c r="L11" s="121"/>
      <c r="M11" s="178"/>
      <c r="N11" s="121"/>
      <c r="O11" s="121"/>
      <c r="P11" s="121"/>
      <c r="Q11" s="178"/>
      <c r="R11" s="121"/>
      <c r="S11" s="168"/>
    </row>
    <row r="12" spans="1:20" x14ac:dyDescent="0.25">
      <c r="A12" s="14" t="s">
        <v>15</v>
      </c>
      <c r="B12" s="15"/>
      <c r="C12" s="134">
        <v>408497.84</v>
      </c>
      <c r="D12" s="134">
        <f>77.23</f>
        <v>77.23</v>
      </c>
      <c r="E12" s="103">
        <v>75986.880000000005</v>
      </c>
      <c r="F12" s="102">
        <f>SUM(C12:E12)</f>
        <v>484561.95</v>
      </c>
      <c r="G12" s="102">
        <v>0</v>
      </c>
      <c r="H12" s="102">
        <f t="shared" si="2"/>
        <v>484561.95</v>
      </c>
      <c r="I12" s="102">
        <v>0</v>
      </c>
      <c r="J12" s="102">
        <v>0</v>
      </c>
      <c r="K12" s="144">
        <f t="shared" si="3"/>
        <v>484561.95</v>
      </c>
      <c r="L12" s="102">
        <v>0</v>
      </c>
      <c r="M12" s="103">
        <v>0</v>
      </c>
      <c r="N12" s="102">
        <f t="shared" si="0"/>
        <v>484561.95</v>
      </c>
      <c r="O12" s="102">
        <v>0</v>
      </c>
      <c r="P12" s="102">
        <v>0</v>
      </c>
      <c r="Q12" s="102">
        <v>0</v>
      </c>
      <c r="R12" s="102">
        <v>0</v>
      </c>
      <c r="S12" s="165">
        <f t="shared" ref="S12:S21" si="6">SUM(N12:R12)</f>
        <v>484561.95</v>
      </c>
    </row>
    <row r="13" spans="1:20" x14ac:dyDescent="0.25">
      <c r="A13" s="17" t="s">
        <v>16</v>
      </c>
      <c r="B13" s="18"/>
      <c r="C13" s="109">
        <v>139450.20000000001</v>
      </c>
      <c r="D13" s="109">
        <v>0</v>
      </c>
      <c r="E13" s="105">
        <v>185421.03</v>
      </c>
      <c r="F13" s="102">
        <f t="shared" ref="F13:F19" si="7">SUM(C13:E13)</f>
        <v>324871.23</v>
      </c>
      <c r="G13" s="104">
        <v>0</v>
      </c>
      <c r="H13" s="104">
        <f t="shared" si="2"/>
        <v>324871.23</v>
      </c>
      <c r="I13" s="104">
        <v>0</v>
      </c>
      <c r="J13" s="102">
        <v>0</v>
      </c>
      <c r="K13" s="144">
        <f t="shared" si="3"/>
        <v>324871.23</v>
      </c>
      <c r="L13" s="104">
        <v>0</v>
      </c>
      <c r="M13" s="103">
        <v>0</v>
      </c>
      <c r="N13" s="102">
        <f t="shared" si="0"/>
        <v>324871.23</v>
      </c>
      <c r="O13" s="104">
        <v>0</v>
      </c>
      <c r="P13" s="104">
        <v>0</v>
      </c>
      <c r="Q13" s="104">
        <v>0</v>
      </c>
      <c r="R13" s="104">
        <v>0</v>
      </c>
      <c r="S13" s="173">
        <f t="shared" si="6"/>
        <v>324871.23</v>
      </c>
    </row>
    <row r="14" spans="1:20" ht="15" customHeight="1" x14ac:dyDescent="0.25">
      <c r="A14" s="17" t="s">
        <v>17</v>
      </c>
      <c r="B14" s="18"/>
      <c r="C14" s="104">
        <v>12655</v>
      </c>
      <c r="D14" s="104">
        <v>0</v>
      </c>
      <c r="E14" s="105">
        <v>0</v>
      </c>
      <c r="F14" s="102">
        <f t="shared" si="7"/>
        <v>12655</v>
      </c>
      <c r="G14" s="104">
        <v>0</v>
      </c>
      <c r="H14" s="104">
        <f t="shared" si="2"/>
        <v>12655</v>
      </c>
      <c r="I14" s="104">
        <v>0</v>
      </c>
      <c r="J14" s="102">
        <v>0</v>
      </c>
      <c r="K14" s="144">
        <f t="shared" si="3"/>
        <v>12655</v>
      </c>
      <c r="L14" s="104">
        <v>0</v>
      </c>
      <c r="M14" s="103">
        <v>0</v>
      </c>
      <c r="N14" s="102">
        <f t="shared" si="0"/>
        <v>12655</v>
      </c>
      <c r="O14" s="104">
        <v>0</v>
      </c>
      <c r="P14" s="104">
        <v>0</v>
      </c>
      <c r="Q14" s="105">
        <v>0</v>
      </c>
      <c r="R14" s="104">
        <v>0</v>
      </c>
      <c r="S14" s="173">
        <f t="shared" si="6"/>
        <v>12655</v>
      </c>
    </row>
    <row r="15" spans="1:20" ht="24.75" customHeight="1" x14ac:dyDescent="0.25">
      <c r="A15" s="17" t="s">
        <v>18</v>
      </c>
      <c r="B15" s="18"/>
      <c r="C15" s="110">
        <v>2450</v>
      </c>
      <c r="D15" s="110">
        <v>0</v>
      </c>
      <c r="E15" s="105">
        <v>0</v>
      </c>
      <c r="F15" s="102">
        <f t="shared" si="7"/>
        <v>2450</v>
      </c>
      <c r="G15" s="104">
        <v>0</v>
      </c>
      <c r="H15" s="104">
        <f>SUM(F15:G15)</f>
        <v>2450</v>
      </c>
      <c r="I15" s="104">
        <v>0</v>
      </c>
      <c r="J15" s="102">
        <v>0</v>
      </c>
      <c r="K15" s="144">
        <f>SUM(H15:J15)</f>
        <v>2450</v>
      </c>
      <c r="L15" s="104">
        <v>0</v>
      </c>
      <c r="M15" s="103">
        <v>0</v>
      </c>
      <c r="N15" s="102">
        <f t="shared" si="0"/>
        <v>2450</v>
      </c>
      <c r="O15" s="104">
        <v>0</v>
      </c>
      <c r="P15" s="104">
        <v>0</v>
      </c>
      <c r="Q15" s="105">
        <f>-2450</f>
        <v>-2450</v>
      </c>
      <c r="R15" s="104">
        <v>0</v>
      </c>
      <c r="S15" s="173">
        <f t="shared" si="6"/>
        <v>0</v>
      </c>
    </row>
    <row r="16" spans="1:20" ht="25.5" customHeight="1" x14ac:dyDescent="0.25">
      <c r="A16" s="17" t="s">
        <v>19</v>
      </c>
      <c r="B16" s="18"/>
      <c r="C16" s="110">
        <v>0</v>
      </c>
      <c r="D16" s="110">
        <v>0</v>
      </c>
      <c r="E16" s="105">
        <v>0</v>
      </c>
      <c r="F16" s="102">
        <f t="shared" si="7"/>
        <v>0</v>
      </c>
      <c r="G16" s="104">
        <v>0</v>
      </c>
      <c r="H16" s="104">
        <f t="shared" si="2"/>
        <v>0</v>
      </c>
      <c r="I16" s="104">
        <v>0</v>
      </c>
      <c r="J16" s="102">
        <v>0</v>
      </c>
      <c r="K16" s="144">
        <f t="shared" si="3"/>
        <v>0</v>
      </c>
      <c r="L16" s="104">
        <v>0</v>
      </c>
      <c r="M16" s="103">
        <v>0</v>
      </c>
      <c r="N16" s="102">
        <f t="shared" si="0"/>
        <v>0</v>
      </c>
      <c r="O16" s="104">
        <v>0</v>
      </c>
      <c r="P16" s="104">
        <v>0</v>
      </c>
      <c r="Q16" s="105">
        <v>0</v>
      </c>
      <c r="R16" s="104">
        <v>0</v>
      </c>
      <c r="S16" s="173">
        <f t="shared" si="6"/>
        <v>0</v>
      </c>
    </row>
    <row r="17" spans="1:20" ht="17.25" customHeight="1" x14ac:dyDescent="0.25">
      <c r="A17" s="17" t="s">
        <v>20</v>
      </c>
      <c r="B17" s="18"/>
      <c r="C17" s="110">
        <v>3000</v>
      </c>
      <c r="D17" s="110">
        <v>0</v>
      </c>
      <c r="E17" s="105">
        <v>0</v>
      </c>
      <c r="F17" s="102">
        <f t="shared" si="7"/>
        <v>3000</v>
      </c>
      <c r="G17" s="104">
        <v>0</v>
      </c>
      <c r="H17" s="104">
        <f t="shared" si="2"/>
        <v>3000</v>
      </c>
      <c r="I17" s="104">
        <v>0</v>
      </c>
      <c r="J17" s="102">
        <v>0</v>
      </c>
      <c r="K17" s="144">
        <f t="shared" si="3"/>
        <v>3000</v>
      </c>
      <c r="L17" s="104">
        <v>0</v>
      </c>
      <c r="M17" s="103">
        <v>0</v>
      </c>
      <c r="N17" s="102">
        <f t="shared" si="0"/>
        <v>3000</v>
      </c>
      <c r="O17" s="104">
        <v>0</v>
      </c>
      <c r="P17" s="104">
        <v>0</v>
      </c>
      <c r="Q17" s="105">
        <f>-3000</f>
        <v>-3000</v>
      </c>
      <c r="R17" s="104">
        <v>0</v>
      </c>
      <c r="S17" s="173">
        <f t="shared" si="6"/>
        <v>0</v>
      </c>
    </row>
    <row r="18" spans="1:20" ht="14.25" customHeight="1" x14ac:dyDescent="0.25">
      <c r="A18" s="33" t="s">
        <v>21</v>
      </c>
      <c r="B18" s="18"/>
      <c r="C18" s="110">
        <v>0</v>
      </c>
      <c r="D18" s="110">
        <v>0</v>
      </c>
      <c r="E18" s="105">
        <v>0</v>
      </c>
      <c r="F18" s="102">
        <f>SUM(C18:E18)</f>
        <v>0</v>
      </c>
      <c r="G18" s="104">
        <v>0</v>
      </c>
      <c r="H18" s="104">
        <f t="shared" si="2"/>
        <v>0</v>
      </c>
      <c r="I18" s="104">
        <v>0</v>
      </c>
      <c r="J18" s="102">
        <v>0</v>
      </c>
      <c r="K18" s="144">
        <f t="shared" si="3"/>
        <v>0</v>
      </c>
      <c r="L18" s="104">
        <v>0</v>
      </c>
      <c r="M18" s="103">
        <v>0</v>
      </c>
      <c r="N18" s="102">
        <f t="shared" si="0"/>
        <v>0</v>
      </c>
      <c r="O18" s="104">
        <v>0</v>
      </c>
      <c r="P18" s="104">
        <v>0</v>
      </c>
      <c r="Q18" s="105">
        <v>0</v>
      </c>
      <c r="R18" s="104">
        <v>0</v>
      </c>
      <c r="S18" s="173">
        <f t="shared" si="6"/>
        <v>0</v>
      </c>
    </row>
    <row r="19" spans="1:20" ht="15" customHeight="1" thickBot="1" x14ac:dyDescent="0.3">
      <c r="A19" s="20" t="s">
        <v>22</v>
      </c>
      <c r="B19" s="21"/>
      <c r="C19" s="106">
        <v>0</v>
      </c>
      <c r="D19" s="106">
        <v>0</v>
      </c>
      <c r="E19" s="107">
        <v>0</v>
      </c>
      <c r="F19" s="108">
        <f t="shared" si="7"/>
        <v>0</v>
      </c>
      <c r="G19" s="106">
        <v>0</v>
      </c>
      <c r="H19" s="106">
        <f t="shared" si="2"/>
        <v>0</v>
      </c>
      <c r="I19" s="106">
        <v>0</v>
      </c>
      <c r="J19" s="108">
        <v>0</v>
      </c>
      <c r="K19" s="228">
        <f t="shared" si="3"/>
        <v>0</v>
      </c>
      <c r="L19" s="106">
        <v>0</v>
      </c>
      <c r="M19" s="137">
        <v>0</v>
      </c>
      <c r="N19" s="108">
        <f t="shared" si="0"/>
        <v>0</v>
      </c>
      <c r="O19" s="106">
        <v>0</v>
      </c>
      <c r="P19" s="106">
        <v>0</v>
      </c>
      <c r="Q19" s="107">
        <v>0</v>
      </c>
      <c r="R19" s="106">
        <v>0</v>
      </c>
      <c r="S19" s="182">
        <f t="shared" si="6"/>
        <v>0</v>
      </c>
    </row>
    <row r="20" spans="1:20" ht="28.5" customHeight="1" thickBot="1" x14ac:dyDescent="0.3">
      <c r="A20" s="28" t="s">
        <v>23</v>
      </c>
      <c r="B20" s="34"/>
      <c r="C20" s="125">
        <f>SUM(C12:C19)</f>
        <v>566053.04</v>
      </c>
      <c r="D20" s="125">
        <f t="shared" ref="D20:G20" si="8">SUM(D12:D19)</f>
        <v>77.23</v>
      </c>
      <c r="E20" s="126">
        <f t="shared" si="8"/>
        <v>261407.91</v>
      </c>
      <c r="F20" s="125">
        <f t="shared" si="8"/>
        <v>827538.17999999993</v>
      </c>
      <c r="G20" s="125">
        <f t="shared" si="8"/>
        <v>0</v>
      </c>
      <c r="H20" s="125">
        <f t="shared" ref="H20:M20" si="9">SUM(H12:H19)</f>
        <v>827538.17999999993</v>
      </c>
      <c r="I20" s="125">
        <f t="shared" si="9"/>
        <v>0</v>
      </c>
      <c r="J20" s="125">
        <f t="shared" si="9"/>
        <v>0</v>
      </c>
      <c r="K20" s="147">
        <f t="shared" si="9"/>
        <v>827538.17999999993</v>
      </c>
      <c r="L20" s="125">
        <f t="shared" si="9"/>
        <v>0</v>
      </c>
      <c r="M20" s="126">
        <f t="shared" si="9"/>
        <v>0</v>
      </c>
      <c r="N20" s="125">
        <f t="shared" si="0"/>
        <v>827538.17999999993</v>
      </c>
      <c r="O20" s="125">
        <f>SUM(O12:O19)</f>
        <v>0</v>
      </c>
      <c r="P20" s="125">
        <f>SUM(P12:P19)</f>
        <v>0</v>
      </c>
      <c r="Q20" s="126">
        <f>SUM(Q12:Q19)</f>
        <v>-5450</v>
      </c>
      <c r="R20" s="125">
        <f>SUM(R12:R19)</f>
        <v>0</v>
      </c>
      <c r="S20" s="169">
        <f t="shared" si="6"/>
        <v>822088.17999999993</v>
      </c>
      <c r="T20" s="122"/>
    </row>
    <row r="21" spans="1:20" ht="17.25" customHeight="1" thickBot="1" x14ac:dyDescent="0.3">
      <c r="A21" s="35" t="s">
        <v>24</v>
      </c>
      <c r="B21" s="36"/>
      <c r="C21" s="127">
        <f>SUM(C9+C20)</f>
        <v>2141229.66</v>
      </c>
      <c r="D21" s="127">
        <f>SUM(D9+D20)</f>
        <v>1835.62</v>
      </c>
      <c r="E21" s="129">
        <f>E9+E20</f>
        <v>272560.37</v>
      </c>
      <c r="F21" s="127">
        <f>SUM(C21:E21)</f>
        <v>2415625.6500000004</v>
      </c>
      <c r="G21" s="127">
        <f>SUM(G9+G20)</f>
        <v>60640.1</v>
      </c>
      <c r="H21" s="127">
        <f>SUM(H9+H20)</f>
        <v>2480268.79</v>
      </c>
      <c r="I21" s="127">
        <f>I9+I20</f>
        <v>48604</v>
      </c>
      <c r="J21" s="127">
        <f>SUM(J9+J20)</f>
        <v>33103.96</v>
      </c>
      <c r="K21" s="148">
        <f>SUM(K9+K20)</f>
        <v>2562998.7199999997</v>
      </c>
      <c r="L21" s="127">
        <f>SUM(L9+L20)</f>
        <v>19006.66</v>
      </c>
      <c r="M21" s="129">
        <f>SUM(M9+M20)</f>
        <v>2504.73</v>
      </c>
      <c r="N21" s="127">
        <f t="shared" si="0"/>
        <v>2584510.11</v>
      </c>
      <c r="O21" s="127">
        <f>SUM(O9+O20)</f>
        <v>0</v>
      </c>
      <c r="P21" s="127">
        <f>SUM(P9+P20)</f>
        <v>7119.3099999999995</v>
      </c>
      <c r="Q21" s="129">
        <f>SUM(Q9+Q20)</f>
        <v>87268.35</v>
      </c>
      <c r="R21" s="127">
        <f>SUM(R9+R20)</f>
        <v>393.09</v>
      </c>
      <c r="S21" s="170">
        <f t="shared" si="6"/>
        <v>2679290.86</v>
      </c>
      <c r="T21" s="122"/>
    </row>
    <row r="22" spans="1:20" ht="13.5" customHeight="1" thickBot="1" x14ac:dyDescent="0.3">
      <c r="A22" s="25"/>
      <c r="B22" s="26"/>
      <c r="C22" s="27"/>
      <c r="D22" s="27"/>
      <c r="E22" s="85"/>
      <c r="F22" s="27"/>
      <c r="G22" s="27"/>
      <c r="H22" s="108"/>
      <c r="I22" s="108"/>
      <c r="J22" s="108"/>
      <c r="K22" s="228"/>
      <c r="L22" s="108"/>
      <c r="M22" s="137"/>
      <c r="N22" s="108"/>
      <c r="O22" s="108"/>
      <c r="P22" s="108"/>
      <c r="Q22" s="137"/>
      <c r="R22" s="108"/>
      <c r="S22" s="166"/>
    </row>
    <row r="23" spans="1:20" ht="14.25" customHeight="1" thickBot="1" x14ac:dyDescent="0.3">
      <c r="A23" s="37" t="s">
        <v>25</v>
      </c>
      <c r="B23" s="38"/>
      <c r="C23" s="39"/>
      <c r="D23" s="39"/>
      <c r="E23" s="87"/>
      <c r="F23" s="39"/>
      <c r="G23" s="39"/>
      <c r="H23" s="120"/>
      <c r="I23" s="120"/>
      <c r="J23" s="120"/>
      <c r="K23" s="149"/>
      <c r="L23" s="120"/>
      <c r="M23" s="179"/>
      <c r="N23" s="120"/>
      <c r="O23" s="120"/>
      <c r="P23" s="120"/>
      <c r="Q23" s="179"/>
      <c r="R23" s="120"/>
      <c r="S23" s="171"/>
    </row>
    <row r="24" spans="1:20" ht="16.350000000000001" customHeight="1" thickBot="1" x14ac:dyDescent="0.3">
      <c r="A24" s="40" t="s">
        <v>26</v>
      </c>
      <c r="B24" s="41"/>
      <c r="C24" s="42">
        <f>SUM(C26:C46)</f>
        <v>7639</v>
      </c>
      <c r="D24" s="42">
        <f>SUM(D27:D46)</f>
        <v>10</v>
      </c>
      <c r="E24" s="88">
        <f>SUM(E27:E46)</f>
        <v>0</v>
      </c>
      <c r="F24" s="42">
        <f>SUM(F27:F46)</f>
        <v>7649</v>
      </c>
      <c r="G24" s="42">
        <f>SUM(G27:G46)</f>
        <v>0</v>
      </c>
      <c r="H24" s="42">
        <f>SUM(H26:H46)</f>
        <v>7599</v>
      </c>
      <c r="I24" s="42">
        <f>SUM(I26:I46)</f>
        <v>0</v>
      </c>
      <c r="J24" s="42">
        <f>SUM(J26:J46)</f>
        <v>0</v>
      </c>
      <c r="K24" s="150">
        <f t="shared" si="3"/>
        <v>7599</v>
      </c>
      <c r="L24" s="123">
        <f>SUM(L26:L46)</f>
        <v>400</v>
      </c>
      <c r="M24" s="124">
        <f>SUM(M26:M46)</f>
        <v>0</v>
      </c>
      <c r="N24" s="123">
        <f t="shared" si="0"/>
        <v>7999</v>
      </c>
      <c r="O24" s="123">
        <f>SUM(O26:O46)</f>
        <v>0</v>
      </c>
      <c r="P24" s="123">
        <f>SUM(P26:P46)</f>
        <v>21</v>
      </c>
      <c r="Q24" s="124">
        <f>SUM(Q26:Q46)</f>
        <v>0</v>
      </c>
      <c r="R24" s="123">
        <f>SUM(R26:R46)</f>
        <v>0</v>
      </c>
      <c r="S24" s="172">
        <f>SUM(N24:R24)</f>
        <v>8020</v>
      </c>
      <c r="T24" s="122"/>
    </row>
    <row r="25" spans="1:20" x14ac:dyDescent="0.25">
      <c r="A25" s="43" t="s">
        <v>27</v>
      </c>
      <c r="B25" s="15"/>
      <c r="C25" s="16"/>
      <c r="D25" s="16"/>
      <c r="E25" s="82"/>
      <c r="F25" s="16"/>
      <c r="G25" s="16"/>
      <c r="H25" s="102"/>
      <c r="I25" s="102"/>
      <c r="J25" s="102"/>
      <c r="K25" s="144"/>
      <c r="L25" s="102"/>
      <c r="M25" s="103"/>
      <c r="N25" s="102"/>
      <c r="O25" s="102"/>
      <c r="P25" s="102"/>
      <c r="Q25" s="103"/>
      <c r="R25" s="102"/>
      <c r="S25" s="165"/>
    </row>
    <row r="26" spans="1:20" ht="25.5" x14ac:dyDescent="0.25">
      <c r="A26" s="43" t="s">
        <v>342</v>
      </c>
      <c r="B26" s="47" t="s">
        <v>98</v>
      </c>
      <c r="C26" s="102">
        <v>0</v>
      </c>
      <c r="D26" s="102"/>
      <c r="E26" s="103"/>
      <c r="F26" s="102"/>
      <c r="G26" s="102"/>
      <c r="H26" s="102">
        <f>24</f>
        <v>24</v>
      </c>
      <c r="I26" s="102">
        <v>0</v>
      </c>
      <c r="J26" s="104">
        <v>0</v>
      </c>
      <c r="K26" s="144">
        <f t="shared" ref="K26:K46" si="10">SUM(H26:J26)</f>
        <v>24</v>
      </c>
      <c r="L26" s="104">
        <v>0</v>
      </c>
      <c r="M26" s="103">
        <v>0</v>
      </c>
      <c r="N26" s="102">
        <f t="shared" si="0"/>
        <v>24</v>
      </c>
      <c r="O26" s="104">
        <v>0</v>
      </c>
      <c r="P26" s="104">
        <v>0</v>
      </c>
      <c r="Q26" s="105">
        <v>0</v>
      </c>
      <c r="R26" s="104">
        <v>0</v>
      </c>
      <c r="S26" s="173">
        <f t="shared" ref="S26:S47" si="11">SUM(N26:R26)</f>
        <v>24</v>
      </c>
    </row>
    <row r="27" spans="1:20" ht="41.25" customHeight="1" x14ac:dyDescent="0.25">
      <c r="A27" s="43" t="s">
        <v>293</v>
      </c>
      <c r="B27" s="47" t="s">
        <v>294</v>
      </c>
      <c r="C27" s="102">
        <v>0</v>
      </c>
      <c r="D27" s="102">
        <f>40</f>
        <v>40</v>
      </c>
      <c r="E27" s="103">
        <v>0</v>
      </c>
      <c r="F27" s="102">
        <f>SUM(C27:E27)</f>
        <v>40</v>
      </c>
      <c r="G27" s="104">
        <v>0</v>
      </c>
      <c r="H27" s="104">
        <f t="shared" si="2"/>
        <v>40</v>
      </c>
      <c r="I27" s="104">
        <v>0</v>
      </c>
      <c r="J27" s="104">
        <v>0</v>
      </c>
      <c r="K27" s="144">
        <f>SUM(H27:J27)</f>
        <v>40</v>
      </c>
      <c r="L27" s="104">
        <v>0</v>
      </c>
      <c r="M27" s="103">
        <v>0</v>
      </c>
      <c r="N27" s="102">
        <f t="shared" si="0"/>
        <v>40</v>
      </c>
      <c r="O27" s="104">
        <v>0</v>
      </c>
      <c r="P27" s="104">
        <v>0</v>
      </c>
      <c r="Q27" s="105">
        <v>0</v>
      </c>
      <c r="R27" s="104">
        <v>0</v>
      </c>
      <c r="S27" s="173">
        <f t="shared" si="11"/>
        <v>40</v>
      </c>
    </row>
    <row r="28" spans="1:20" ht="39" customHeight="1" x14ac:dyDescent="0.25">
      <c r="A28" s="43" t="s">
        <v>351</v>
      </c>
      <c r="B28" s="47" t="s">
        <v>296</v>
      </c>
      <c r="C28" s="102">
        <v>0</v>
      </c>
      <c r="D28" s="102"/>
      <c r="E28" s="103"/>
      <c r="F28" s="102"/>
      <c r="G28" s="104"/>
      <c r="H28" s="104">
        <v>0</v>
      </c>
      <c r="I28" s="104">
        <v>0</v>
      </c>
      <c r="J28" s="104">
        <f>15</f>
        <v>15</v>
      </c>
      <c r="K28" s="144">
        <f>SUM(H28:J28)</f>
        <v>15</v>
      </c>
      <c r="L28" s="104">
        <v>0</v>
      </c>
      <c r="M28" s="103">
        <v>0</v>
      </c>
      <c r="N28" s="102">
        <f t="shared" si="0"/>
        <v>15</v>
      </c>
      <c r="O28" s="104">
        <v>0</v>
      </c>
      <c r="P28" s="104">
        <v>0</v>
      </c>
      <c r="Q28" s="105">
        <v>0</v>
      </c>
      <c r="R28" s="104">
        <v>0</v>
      </c>
      <c r="S28" s="173">
        <f t="shared" si="11"/>
        <v>15</v>
      </c>
    </row>
    <row r="29" spans="1:20" ht="27" customHeight="1" x14ac:dyDescent="0.25">
      <c r="A29" s="43" t="s">
        <v>350</v>
      </c>
      <c r="B29" s="47" t="s">
        <v>98</v>
      </c>
      <c r="C29" s="102">
        <v>0</v>
      </c>
      <c r="D29" s="102"/>
      <c r="E29" s="103"/>
      <c r="F29" s="102"/>
      <c r="G29" s="104"/>
      <c r="H29" s="104">
        <v>0</v>
      </c>
      <c r="I29" s="104">
        <v>0</v>
      </c>
      <c r="J29" s="104">
        <f>35</f>
        <v>35</v>
      </c>
      <c r="K29" s="144">
        <f>SUM(H29:J29)</f>
        <v>35</v>
      </c>
      <c r="L29" s="104">
        <v>0</v>
      </c>
      <c r="M29" s="103">
        <v>0</v>
      </c>
      <c r="N29" s="102">
        <f t="shared" si="0"/>
        <v>35</v>
      </c>
      <c r="O29" s="104">
        <v>0</v>
      </c>
      <c r="P29" s="104">
        <v>0</v>
      </c>
      <c r="Q29" s="105">
        <v>0</v>
      </c>
      <c r="R29" s="104">
        <v>0</v>
      </c>
      <c r="S29" s="173">
        <f t="shared" si="11"/>
        <v>35</v>
      </c>
    </row>
    <row r="30" spans="1:20" ht="16.5" customHeight="1" x14ac:dyDescent="0.25">
      <c r="A30" s="43" t="s">
        <v>380</v>
      </c>
      <c r="B30" s="47" t="s">
        <v>45</v>
      </c>
      <c r="C30" s="102">
        <v>0</v>
      </c>
      <c r="D30" s="102"/>
      <c r="E30" s="103"/>
      <c r="F30" s="102"/>
      <c r="G30" s="104"/>
      <c r="H30" s="104"/>
      <c r="I30" s="104"/>
      <c r="J30" s="104"/>
      <c r="K30" s="144">
        <v>0</v>
      </c>
      <c r="L30" s="104">
        <v>0</v>
      </c>
      <c r="M30" s="103">
        <f>20</f>
        <v>20</v>
      </c>
      <c r="N30" s="102">
        <f>SUM(K30:M30)</f>
        <v>20</v>
      </c>
      <c r="O30" s="104">
        <v>0</v>
      </c>
      <c r="P30" s="104">
        <v>0</v>
      </c>
      <c r="Q30" s="105">
        <v>0</v>
      </c>
      <c r="R30" s="104">
        <v>0</v>
      </c>
      <c r="S30" s="173">
        <f t="shared" si="11"/>
        <v>20</v>
      </c>
    </row>
    <row r="31" spans="1:20" ht="26.25" customHeight="1" x14ac:dyDescent="0.25">
      <c r="A31" s="43" t="s">
        <v>318</v>
      </c>
      <c r="B31" s="47" t="s">
        <v>112</v>
      </c>
      <c r="C31" s="102">
        <v>0</v>
      </c>
      <c r="D31" s="102">
        <f>50</f>
        <v>50</v>
      </c>
      <c r="E31" s="103">
        <v>0</v>
      </c>
      <c r="F31" s="102">
        <f>SUM(C31:E31)</f>
        <v>50</v>
      </c>
      <c r="G31" s="104">
        <v>0</v>
      </c>
      <c r="H31" s="104">
        <f t="shared" ref="H31:H37" si="12">SUM(F31:G31)</f>
        <v>50</v>
      </c>
      <c r="I31" s="104">
        <v>0</v>
      </c>
      <c r="J31" s="104">
        <v>0</v>
      </c>
      <c r="K31" s="144">
        <f t="shared" si="10"/>
        <v>50</v>
      </c>
      <c r="L31" s="104">
        <v>0</v>
      </c>
      <c r="M31" s="103">
        <v>0</v>
      </c>
      <c r="N31" s="102">
        <f t="shared" si="0"/>
        <v>50</v>
      </c>
      <c r="O31" s="104">
        <v>0</v>
      </c>
      <c r="P31" s="104">
        <v>0</v>
      </c>
      <c r="Q31" s="105">
        <v>0</v>
      </c>
      <c r="R31" s="104">
        <v>0</v>
      </c>
      <c r="S31" s="173">
        <f t="shared" si="11"/>
        <v>50</v>
      </c>
    </row>
    <row r="32" spans="1:20" ht="27.75" customHeight="1" x14ac:dyDescent="0.25">
      <c r="A32" s="43" t="s">
        <v>319</v>
      </c>
      <c r="B32" s="47" t="s">
        <v>116</v>
      </c>
      <c r="C32" s="102">
        <v>0</v>
      </c>
      <c r="D32" s="102"/>
      <c r="E32" s="103"/>
      <c r="F32" s="102">
        <v>0</v>
      </c>
      <c r="G32" s="104">
        <f>15</f>
        <v>15</v>
      </c>
      <c r="H32" s="104">
        <f t="shared" si="12"/>
        <v>15</v>
      </c>
      <c r="I32" s="104">
        <v>0</v>
      </c>
      <c r="J32" s="104">
        <v>0</v>
      </c>
      <c r="K32" s="144">
        <f t="shared" si="10"/>
        <v>15</v>
      </c>
      <c r="L32" s="104">
        <v>0</v>
      </c>
      <c r="M32" s="103">
        <v>0</v>
      </c>
      <c r="N32" s="102">
        <f t="shared" si="0"/>
        <v>15</v>
      </c>
      <c r="O32" s="104">
        <v>0</v>
      </c>
      <c r="P32" s="104">
        <f>-4.3</f>
        <v>-4.3</v>
      </c>
      <c r="Q32" s="105">
        <v>0</v>
      </c>
      <c r="R32" s="104">
        <v>0</v>
      </c>
      <c r="S32" s="173">
        <f t="shared" si="11"/>
        <v>10.7</v>
      </c>
    </row>
    <row r="33" spans="1:20" ht="27" customHeight="1" x14ac:dyDescent="0.25">
      <c r="A33" s="48" t="s">
        <v>266</v>
      </c>
      <c r="B33" s="49" t="s">
        <v>267</v>
      </c>
      <c r="C33" s="104">
        <v>0</v>
      </c>
      <c r="D33" s="104">
        <f>28</f>
        <v>28</v>
      </c>
      <c r="E33" s="105">
        <v>0</v>
      </c>
      <c r="F33" s="104">
        <f>SUM(C33:E33)</f>
        <v>28</v>
      </c>
      <c r="G33" s="104">
        <v>0</v>
      </c>
      <c r="H33" s="104">
        <f t="shared" si="12"/>
        <v>28</v>
      </c>
      <c r="I33" s="104">
        <v>0</v>
      </c>
      <c r="J33" s="104">
        <v>0</v>
      </c>
      <c r="K33" s="144">
        <f t="shared" si="10"/>
        <v>28</v>
      </c>
      <c r="L33" s="104">
        <v>0</v>
      </c>
      <c r="M33" s="103">
        <v>0</v>
      </c>
      <c r="N33" s="102">
        <f t="shared" si="0"/>
        <v>28</v>
      </c>
      <c r="O33" s="104">
        <v>0</v>
      </c>
      <c r="P33" s="104">
        <v>0</v>
      </c>
      <c r="Q33" s="105">
        <v>0</v>
      </c>
      <c r="R33" s="104">
        <v>0</v>
      </c>
      <c r="S33" s="173">
        <f t="shared" si="11"/>
        <v>28</v>
      </c>
    </row>
    <row r="34" spans="1:20" ht="24.75" customHeight="1" x14ac:dyDescent="0.25">
      <c r="A34" s="48" t="s">
        <v>314</v>
      </c>
      <c r="B34" s="49" t="s">
        <v>45</v>
      </c>
      <c r="C34" s="104">
        <v>0</v>
      </c>
      <c r="D34" s="104"/>
      <c r="E34" s="105"/>
      <c r="F34" s="104">
        <v>0</v>
      </c>
      <c r="G34" s="104">
        <f>30</f>
        <v>30</v>
      </c>
      <c r="H34" s="104">
        <f t="shared" si="12"/>
        <v>30</v>
      </c>
      <c r="I34" s="104">
        <v>0</v>
      </c>
      <c r="J34" s="104">
        <v>0</v>
      </c>
      <c r="K34" s="144">
        <f t="shared" si="10"/>
        <v>30</v>
      </c>
      <c r="L34" s="104">
        <v>0</v>
      </c>
      <c r="M34" s="103">
        <v>0</v>
      </c>
      <c r="N34" s="102">
        <f t="shared" si="0"/>
        <v>30</v>
      </c>
      <c r="O34" s="104">
        <v>0</v>
      </c>
      <c r="P34" s="104">
        <v>0</v>
      </c>
      <c r="Q34" s="105">
        <v>0</v>
      </c>
      <c r="R34" s="104">
        <v>0</v>
      </c>
      <c r="S34" s="173">
        <f t="shared" si="11"/>
        <v>30</v>
      </c>
    </row>
    <row r="35" spans="1:20" ht="25.5" customHeight="1" x14ac:dyDescent="0.25">
      <c r="A35" s="48" t="s">
        <v>317</v>
      </c>
      <c r="B35" s="49" t="s">
        <v>119</v>
      </c>
      <c r="C35" s="104">
        <v>0</v>
      </c>
      <c r="D35" s="104"/>
      <c r="E35" s="105"/>
      <c r="F35" s="104">
        <v>0</v>
      </c>
      <c r="G35" s="104">
        <f>75</f>
        <v>75</v>
      </c>
      <c r="H35" s="104">
        <f t="shared" si="12"/>
        <v>75</v>
      </c>
      <c r="I35" s="104">
        <v>0</v>
      </c>
      <c r="J35" s="104">
        <v>0</v>
      </c>
      <c r="K35" s="144">
        <f t="shared" si="10"/>
        <v>75</v>
      </c>
      <c r="L35" s="104">
        <v>0</v>
      </c>
      <c r="M35" s="103">
        <v>0</v>
      </c>
      <c r="N35" s="102">
        <f t="shared" si="0"/>
        <v>75</v>
      </c>
      <c r="O35" s="104">
        <v>0</v>
      </c>
      <c r="P35" s="104">
        <v>0</v>
      </c>
      <c r="Q35" s="105">
        <v>0</v>
      </c>
      <c r="R35" s="104">
        <v>0</v>
      </c>
      <c r="S35" s="173">
        <f t="shared" si="11"/>
        <v>75</v>
      </c>
    </row>
    <row r="36" spans="1:20" ht="15.75" customHeight="1" x14ac:dyDescent="0.25">
      <c r="A36" s="48" t="s">
        <v>315</v>
      </c>
      <c r="B36" s="49" t="s">
        <v>112</v>
      </c>
      <c r="C36" s="104">
        <v>0</v>
      </c>
      <c r="D36" s="104"/>
      <c r="E36" s="105"/>
      <c r="F36" s="104">
        <v>0</v>
      </c>
      <c r="G36" s="104">
        <f>100</f>
        <v>100</v>
      </c>
      <c r="H36" s="104">
        <f t="shared" si="12"/>
        <v>100</v>
      </c>
      <c r="I36" s="104">
        <v>0</v>
      </c>
      <c r="J36" s="104">
        <v>0</v>
      </c>
      <c r="K36" s="144">
        <f t="shared" si="10"/>
        <v>100</v>
      </c>
      <c r="L36" s="104">
        <v>0</v>
      </c>
      <c r="M36" s="103">
        <v>0</v>
      </c>
      <c r="N36" s="102">
        <f t="shared" si="0"/>
        <v>100</v>
      </c>
      <c r="O36" s="104">
        <v>0</v>
      </c>
      <c r="P36" s="104">
        <v>0</v>
      </c>
      <c r="Q36" s="105">
        <v>0</v>
      </c>
      <c r="R36" s="104">
        <v>0</v>
      </c>
      <c r="S36" s="173">
        <f t="shared" si="11"/>
        <v>100</v>
      </c>
    </row>
    <row r="37" spans="1:20" ht="27" customHeight="1" x14ac:dyDescent="0.25">
      <c r="A37" s="48" t="s">
        <v>311</v>
      </c>
      <c r="B37" s="49" t="s">
        <v>112</v>
      </c>
      <c r="C37" s="104">
        <v>0</v>
      </c>
      <c r="D37" s="104"/>
      <c r="E37" s="105"/>
      <c r="F37" s="104">
        <v>0</v>
      </c>
      <c r="G37" s="104">
        <f>50</f>
        <v>50</v>
      </c>
      <c r="H37" s="104">
        <f t="shared" si="12"/>
        <v>50</v>
      </c>
      <c r="I37" s="104">
        <v>0</v>
      </c>
      <c r="J37" s="104">
        <v>0</v>
      </c>
      <c r="K37" s="144">
        <f t="shared" si="10"/>
        <v>50</v>
      </c>
      <c r="L37" s="104">
        <v>0</v>
      </c>
      <c r="M37" s="103">
        <v>0</v>
      </c>
      <c r="N37" s="102">
        <f t="shared" si="0"/>
        <v>50</v>
      </c>
      <c r="O37" s="104">
        <v>0</v>
      </c>
      <c r="P37" s="104">
        <v>0</v>
      </c>
      <c r="Q37" s="105">
        <v>0</v>
      </c>
      <c r="R37" s="104">
        <v>0</v>
      </c>
      <c r="S37" s="173">
        <f t="shared" si="11"/>
        <v>50</v>
      </c>
    </row>
    <row r="38" spans="1:20" ht="36" customHeight="1" x14ac:dyDescent="0.25">
      <c r="A38" s="48" t="s">
        <v>295</v>
      </c>
      <c r="B38" s="49" t="s">
        <v>296</v>
      </c>
      <c r="C38" s="104">
        <v>0</v>
      </c>
      <c r="D38" s="104">
        <f>20</f>
        <v>20</v>
      </c>
      <c r="E38" s="105">
        <v>0</v>
      </c>
      <c r="F38" s="104">
        <f>SUM(C38:E38)</f>
        <v>20</v>
      </c>
      <c r="G38" s="104">
        <v>0</v>
      </c>
      <c r="H38" s="104">
        <f t="shared" si="2"/>
        <v>20</v>
      </c>
      <c r="I38" s="104">
        <v>0</v>
      </c>
      <c r="J38" s="104">
        <v>0</v>
      </c>
      <c r="K38" s="144">
        <f t="shared" si="10"/>
        <v>20</v>
      </c>
      <c r="L38" s="104">
        <v>0</v>
      </c>
      <c r="M38" s="103">
        <v>0</v>
      </c>
      <c r="N38" s="102">
        <f t="shared" si="0"/>
        <v>20</v>
      </c>
      <c r="O38" s="104">
        <v>0</v>
      </c>
      <c r="P38" s="104">
        <v>0</v>
      </c>
      <c r="Q38" s="105">
        <v>0</v>
      </c>
      <c r="R38" s="104">
        <v>0</v>
      </c>
      <c r="S38" s="173">
        <f t="shared" si="11"/>
        <v>20</v>
      </c>
    </row>
    <row r="39" spans="1:20" ht="28.5" customHeight="1" x14ac:dyDescent="0.25">
      <c r="A39" s="48" t="s">
        <v>341</v>
      </c>
      <c r="B39" s="49" t="s">
        <v>262</v>
      </c>
      <c r="C39" s="104">
        <v>0</v>
      </c>
      <c r="D39" s="104"/>
      <c r="E39" s="105"/>
      <c r="F39" s="104"/>
      <c r="G39" s="104"/>
      <c r="H39" s="104">
        <f>18</f>
        <v>18</v>
      </c>
      <c r="I39" s="104">
        <v>0</v>
      </c>
      <c r="J39" s="104">
        <v>0</v>
      </c>
      <c r="K39" s="144">
        <f t="shared" si="10"/>
        <v>18</v>
      </c>
      <c r="L39" s="104">
        <v>0</v>
      </c>
      <c r="M39" s="103">
        <v>0</v>
      </c>
      <c r="N39" s="102">
        <f t="shared" si="0"/>
        <v>18</v>
      </c>
      <c r="O39" s="104">
        <v>0</v>
      </c>
      <c r="P39" s="104">
        <f>-0.2</f>
        <v>-0.2</v>
      </c>
      <c r="Q39" s="105">
        <v>0</v>
      </c>
      <c r="R39" s="104">
        <v>0</v>
      </c>
      <c r="S39" s="173">
        <f t="shared" si="11"/>
        <v>17.8</v>
      </c>
    </row>
    <row r="40" spans="1:20" ht="49.5" customHeight="1" x14ac:dyDescent="0.25">
      <c r="A40" s="48" t="s">
        <v>269</v>
      </c>
      <c r="B40" s="49" t="s">
        <v>262</v>
      </c>
      <c r="C40" s="104">
        <v>0</v>
      </c>
      <c r="D40" s="104">
        <f>50</f>
        <v>50</v>
      </c>
      <c r="E40" s="105">
        <v>0</v>
      </c>
      <c r="F40" s="104">
        <f t="shared" ref="F40:F45" si="13">SUM(C40:E40)</f>
        <v>50</v>
      </c>
      <c r="G40" s="104">
        <v>0</v>
      </c>
      <c r="H40" s="104">
        <f>SUM(F40:G40)</f>
        <v>50</v>
      </c>
      <c r="I40" s="104">
        <v>0</v>
      </c>
      <c r="J40" s="104">
        <v>0</v>
      </c>
      <c r="K40" s="115">
        <f t="shared" si="10"/>
        <v>50</v>
      </c>
      <c r="L40" s="104">
        <v>0</v>
      </c>
      <c r="M40" s="105">
        <v>0</v>
      </c>
      <c r="N40" s="104">
        <f>SUM(K40:M40)</f>
        <v>50</v>
      </c>
      <c r="O40" s="104">
        <v>0</v>
      </c>
      <c r="P40" s="104">
        <v>0</v>
      </c>
      <c r="Q40" s="105">
        <v>0</v>
      </c>
      <c r="R40" s="104">
        <v>0</v>
      </c>
      <c r="S40" s="173">
        <f t="shared" si="11"/>
        <v>50</v>
      </c>
    </row>
    <row r="41" spans="1:20" ht="39" customHeight="1" x14ac:dyDescent="0.25">
      <c r="A41" s="48" t="s">
        <v>378</v>
      </c>
      <c r="B41" s="49" t="s">
        <v>116</v>
      </c>
      <c r="C41" s="104">
        <v>0</v>
      </c>
      <c r="D41" s="104"/>
      <c r="E41" s="105"/>
      <c r="F41" s="106">
        <v>0</v>
      </c>
      <c r="G41" s="104">
        <f>150</f>
        <v>150</v>
      </c>
      <c r="H41" s="104">
        <f>SUM(F41:G41)</f>
        <v>150</v>
      </c>
      <c r="I41" s="104">
        <v>0</v>
      </c>
      <c r="J41" s="104">
        <v>0</v>
      </c>
      <c r="K41" s="144">
        <f t="shared" si="10"/>
        <v>150</v>
      </c>
      <c r="L41" s="104">
        <v>0</v>
      </c>
      <c r="M41" s="103">
        <v>0</v>
      </c>
      <c r="N41" s="102">
        <f>SUM(K41:M41)</f>
        <v>150</v>
      </c>
      <c r="O41" s="104">
        <v>0</v>
      </c>
      <c r="P41" s="104">
        <v>0</v>
      </c>
      <c r="Q41" s="105">
        <v>0</v>
      </c>
      <c r="R41" s="104">
        <v>0</v>
      </c>
      <c r="S41" s="173">
        <f t="shared" si="11"/>
        <v>150</v>
      </c>
    </row>
    <row r="42" spans="1:20" ht="39" customHeight="1" x14ac:dyDescent="0.25">
      <c r="A42" s="48" t="s">
        <v>379</v>
      </c>
      <c r="B42" s="49" t="s">
        <v>45</v>
      </c>
      <c r="C42" s="104">
        <v>0</v>
      </c>
      <c r="D42" s="104"/>
      <c r="E42" s="105"/>
      <c r="F42" s="106"/>
      <c r="G42" s="104"/>
      <c r="H42" s="104"/>
      <c r="I42" s="104"/>
      <c r="J42" s="104"/>
      <c r="K42" s="144">
        <v>0</v>
      </c>
      <c r="L42" s="104">
        <v>0</v>
      </c>
      <c r="M42" s="103">
        <f>150</f>
        <v>150</v>
      </c>
      <c r="N42" s="102">
        <f>SUM(K42:M42)</f>
        <v>150</v>
      </c>
      <c r="O42" s="104">
        <v>0</v>
      </c>
      <c r="P42" s="104">
        <v>0</v>
      </c>
      <c r="Q42" s="105">
        <v>0</v>
      </c>
      <c r="R42" s="104">
        <v>0</v>
      </c>
      <c r="S42" s="173">
        <f t="shared" si="11"/>
        <v>150</v>
      </c>
    </row>
    <row r="43" spans="1:20" ht="25.5" customHeight="1" x14ac:dyDescent="0.25">
      <c r="A43" s="48" t="s">
        <v>326</v>
      </c>
      <c r="B43" s="49" t="s">
        <v>98</v>
      </c>
      <c r="C43" s="104">
        <v>0</v>
      </c>
      <c r="D43" s="104"/>
      <c r="E43" s="105"/>
      <c r="F43" s="104">
        <v>0</v>
      </c>
      <c r="G43" s="104">
        <f>50</f>
        <v>50</v>
      </c>
      <c r="H43" s="104">
        <f>SUM(F43:G43)</f>
        <v>50</v>
      </c>
      <c r="I43" s="104">
        <v>0</v>
      </c>
      <c r="J43" s="104">
        <v>0</v>
      </c>
      <c r="K43" s="144">
        <f t="shared" si="10"/>
        <v>50</v>
      </c>
      <c r="L43" s="104">
        <v>0</v>
      </c>
      <c r="M43" s="103">
        <v>0</v>
      </c>
      <c r="N43" s="102">
        <f t="shared" ref="N43:N115" si="14">SUM(K43:M43)</f>
        <v>50</v>
      </c>
      <c r="O43" s="104">
        <v>0</v>
      </c>
      <c r="P43" s="104">
        <v>0</v>
      </c>
      <c r="Q43" s="105">
        <v>0</v>
      </c>
      <c r="R43" s="104">
        <v>0</v>
      </c>
      <c r="S43" s="173">
        <f t="shared" si="11"/>
        <v>50</v>
      </c>
    </row>
    <row r="44" spans="1:20" ht="25.5" x14ac:dyDescent="0.25">
      <c r="A44" s="48" t="s">
        <v>343</v>
      </c>
      <c r="B44" s="49" t="s">
        <v>262</v>
      </c>
      <c r="C44" s="104">
        <v>0</v>
      </c>
      <c r="D44" s="104"/>
      <c r="E44" s="105"/>
      <c r="F44" s="104"/>
      <c r="G44" s="104"/>
      <c r="H44" s="104">
        <v>50</v>
      </c>
      <c r="I44" s="104">
        <v>0</v>
      </c>
      <c r="J44" s="104">
        <v>0</v>
      </c>
      <c r="K44" s="144">
        <f t="shared" si="10"/>
        <v>50</v>
      </c>
      <c r="L44" s="104">
        <v>0</v>
      </c>
      <c r="M44" s="103">
        <v>0</v>
      </c>
      <c r="N44" s="102">
        <f t="shared" si="14"/>
        <v>50</v>
      </c>
      <c r="O44" s="104">
        <v>0</v>
      </c>
      <c r="P44" s="104">
        <v>0</v>
      </c>
      <c r="Q44" s="105">
        <v>0</v>
      </c>
      <c r="R44" s="104">
        <v>0</v>
      </c>
      <c r="S44" s="173">
        <f t="shared" si="11"/>
        <v>50</v>
      </c>
    </row>
    <row r="45" spans="1:20" ht="25.5" customHeight="1" x14ac:dyDescent="0.25">
      <c r="A45" s="43" t="s">
        <v>270</v>
      </c>
      <c r="B45" s="93" t="s">
        <v>119</v>
      </c>
      <c r="C45" s="102">
        <v>0</v>
      </c>
      <c r="D45" s="102">
        <v>0</v>
      </c>
      <c r="E45" s="102">
        <v>80</v>
      </c>
      <c r="F45" s="108">
        <f t="shared" si="13"/>
        <v>80</v>
      </c>
      <c r="G45" s="102">
        <v>0</v>
      </c>
      <c r="H45" s="102">
        <f t="shared" si="2"/>
        <v>80</v>
      </c>
      <c r="I45" s="102">
        <v>0</v>
      </c>
      <c r="J45" s="104">
        <v>0</v>
      </c>
      <c r="K45" s="144">
        <f t="shared" si="10"/>
        <v>80</v>
      </c>
      <c r="L45" s="104">
        <v>0</v>
      </c>
      <c r="M45" s="103">
        <v>0</v>
      </c>
      <c r="N45" s="102">
        <f t="shared" si="14"/>
        <v>80</v>
      </c>
      <c r="O45" s="104">
        <v>0</v>
      </c>
      <c r="P45" s="104">
        <v>0</v>
      </c>
      <c r="Q45" s="105">
        <v>0</v>
      </c>
      <c r="R45" s="104">
        <v>0</v>
      </c>
      <c r="S45" s="173">
        <f t="shared" si="11"/>
        <v>80</v>
      </c>
    </row>
    <row r="46" spans="1:20" ht="26.25" customHeight="1" thickBot="1" x14ac:dyDescent="0.3">
      <c r="A46" s="44" t="s">
        <v>28</v>
      </c>
      <c r="B46" s="45"/>
      <c r="C46" s="106">
        <v>7639</v>
      </c>
      <c r="D46" s="106">
        <f>-50-28-100</f>
        <v>-178</v>
      </c>
      <c r="E46" s="107">
        <v>-80</v>
      </c>
      <c r="F46" s="106">
        <f>SUM(C46:E46)</f>
        <v>7381</v>
      </c>
      <c r="G46" s="106">
        <f>-50-130-90-200</f>
        <v>-470</v>
      </c>
      <c r="H46" s="106">
        <f>SUM(F46:G46)-92-50</f>
        <v>6769</v>
      </c>
      <c r="I46" s="106">
        <v>0</v>
      </c>
      <c r="J46" s="106">
        <f>-50</f>
        <v>-50</v>
      </c>
      <c r="K46" s="113">
        <f t="shared" si="10"/>
        <v>6719</v>
      </c>
      <c r="L46" s="106">
        <f>400</f>
        <v>400</v>
      </c>
      <c r="M46" s="137">
        <f>-170</f>
        <v>-170</v>
      </c>
      <c r="N46" s="108">
        <f t="shared" si="14"/>
        <v>6949</v>
      </c>
      <c r="O46" s="106">
        <v>0</v>
      </c>
      <c r="P46" s="106">
        <f>4.5+21</f>
        <v>25.5</v>
      </c>
      <c r="Q46" s="107">
        <v>0</v>
      </c>
      <c r="R46" s="106">
        <v>0</v>
      </c>
      <c r="S46" s="182">
        <f t="shared" si="11"/>
        <v>6974.5</v>
      </c>
    </row>
    <row r="47" spans="1:20" ht="16.5" customHeight="1" thickBot="1" x14ac:dyDescent="0.3">
      <c r="A47" s="142" t="s">
        <v>29</v>
      </c>
      <c r="B47" s="46"/>
      <c r="C47" s="123">
        <f t="shared" ref="C47:J47" si="15">SUM(C49:C51)</f>
        <v>324123</v>
      </c>
      <c r="D47" s="123">
        <f t="shared" si="15"/>
        <v>-50</v>
      </c>
      <c r="E47" s="124">
        <f t="shared" si="15"/>
        <v>0</v>
      </c>
      <c r="F47" s="123">
        <f t="shared" si="15"/>
        <v>324073</v>
      </c>
      <c r="G47" s="123">
        <f t="shared" si="15"/>
        <v>4.59</v>
      </c>
      <c r="H47" s="123">
        <f t="shared" si="15"/>
        <v>325921.59000000003</v>
      </c>
      <c r="I47" s="123">
        <f t="shared" si="15"/>
        <v>0</v>
      </c>
      <c r="J47" s="123">
        <f t="shared" si="15"/>
        <v>25278.06</v>
      </c>
      <c r="K47" s="150">
        <f>SUM(H47:J47)</f>
        <v>351199.65</v>
      </c>
      <c r="L47" s="123">
        <f>SUM(L49:L51)</f>
        <v>0</v>
      </c>
      <c r="M47" s="124">
        <f>SUM(M49:M51)</f>
        <v>1815.5</v>
      </c>
      <c r="N47" s="123">
        <f t="shared" si="14"/>
        <v>353015.15</v>
      </c>
      <c r="O47" s="123">
        <f>SUM(O49:O51)</f>
        <v>0</v>
      </c>
      <c r="P47" s="123">
        <f>SUM(P49:P51)</f>
        <v>151.60000000000002</v>
      </c>
      <c r="Q47" s="124">
        <f>SUM(Q49:Q51)</f>
        <v>-3102</v>
      </c>
      <c r="R47" s="123">
        <f>SUM(R49:R51)</f>
        <v>0</v>
      </c>
      <c r="S47" s="172">
        <f t="shared" si="11"/>
        <v>350064.75</v>
      </c>
      <c r="T47" s="122"/>
    </row>
    <row r="48" spans="1:20" ht="14.25" customHeight="1" x14ac:dyDescent="0.25">
      <c r="A48" s="43" t="s">
        <v>27</v>
      </c>
      <c r="B48" s="47"/>
      <c r="C48" s="16"/>
      <c r="D48" s="16"/>
      <c r="E48" s="82"/>
      <c r="F48" s="16"/>
      <c r="G48" s="16"/>
      <c r="H48" s="102"/>
      <c r="I48" s="102"/>
      <c r="J48" s="102"/>
      <c r="K48" s="144"/>
      <c r="L48" s="102"/>
      <c r="M48" s="103"/>
      <c r="N48" s="102"/>
      <c r="O48" s="102"/>
      <c r="P48" s="102"/>
      <c r="Q48" s="103"/>
      <c r="R48" s="102"/>
      <c r="S48" s="165"/>
    </row>
    <row r="49" spans="1:20" ht="15" customHeight="1" x14ac:dyDescent="0.25">
      <c r="A49" s="48" t="s">
        <v>30</v>
      </c>
      <c r="B49" s="49"/>
      <c r="C49" s="19">
        <v>700</v>
      </c>
      <c r="D49" s="19">
        <v>0</v>
      </c>
      <c r="E49" s="83">
        <v>0</v>
      </c>
      <c r="F49" s="19">
        <f>SUM(C49:E49)</f>
        <v>700</v>
      </c>
      <c r="G49" s="19">
        <f>4.59</f>
        <v>4.59</v>
      </c>
      <c r="H49" s="104">
        <f t="shared" si="2"/>
        <v>704.59</v>
      </c>
      <c r="I49" s="104">
        <v>0</v>
      </c>
      <c r="J49" s="104">
        <f>49.13</f>
        <v>49.13</v>
      </c>
      <c r="K49" s="144">
        <f t="shared" ref="K49:K132" si="16">SUM(H49:J49)</f>
        <v>753.72</v>
      </c>
      <c r="L49" s="104">
        <v>0</v>
      </c>
      <c r="M49" s="103">
        <v>0</v>
      </c>
      <c r="N49" s="102">
        <f t="shared" si="14"/>
        <v>753.72</v>
      </c>
      <c r="O49" s="104">
        <v>0</v>
      </c>
      <c r="P49" s="104">
        <f>113.43+108.17</f>
        <v>221.60000000000002</v>
      </c>
      <c r="Q49" s="105">
        <v>0</v>
      </c>
      <c r="R49" s="104">
        <v>0</v>
      </c>
      <c r="S49" s="173">
        <f>SUM(N49:R49)</f>
        <v>975.32</v>
      </c>
    </row>
    <row r="50" spans="1:20" ht="15" customHeight="1" x14ac:dyDescent="0.25">
      <c r="A50" s="48" t="s">
        <v>31</v>
      </c>
      <c r="B50" s="49"/>
      <c r="C50" s="19">
        <v>12655</v>
      </c>
      <c r="D50" s="19">
        <v>0</v>
      </c>
      <c r="E50" s="83">
        <v>0</v>
      </c>
      <c r="F50" s="19">
        <f t="shared" ref="F50:F51" si="17">SUM(C50:E50)</f>
        <v>12655</v>
      </c>
      <c r="G50" s="19">
        <v>0</v>
      </c>
      <c r="H50" s="104">
        <f t="shared" si="2"/>
        <v>12655</v>
      </c>
      <c r="I50" s="104">
        <v>0</v>
      </c>
      <c r="J50" s="104">
        <v>0</v>
      </c>
      <c r="K50" s="144">
        <f t="shared" si="16"/>
        <v>12655</v>
      </c>
      <c r="L50" s="104">
        <v>0</v>
      </c>
      <c r="M50" s="103">
        <v>0</v>
      </c>
      <c r="N50" s="102">
        <f t="shared" si="14"/>
        <v>12655</v>
      </c>
      <c r="O50" s="104">
        <v>0</v>
      </c>
      <c r="P50" s="104">
        <v>0</v>
      </c>
      <c r="Q50" s="105">
        <v>0</v>
      </c>
      <c r="R50" s="104">
        <v>0</v>
      </c>
      <c r="S50" s="173">
        <f>SUM(N50:R50)</f>
        <v>12655</v>
      </c>
    </row>
    <row r="51" spans="1:20" ht="15" customHeight="1" thickBot="1" x14ac:dyDescent="0.3">
      <c r="A51" s="44" t="s">
        <v>32</v>
      </c>
      <c r="B51" s="45"/>
      <c r="C51" s="22">
        <v>310768</v>
      </c>
      <c r="D51" s="22">
        <f>-50</f>
        <v>-50</v>
      </c>
      <c r="E51" s="84">
        <v>0</v>
      </c>
      <c r="F51" s="22">
        <f t="shared" si="17"/>
        <v>310718</v>
      </c>
      <c r="G51" s="22">
        <v>0</v>
      </c>
      <c r="H51" s="106">
        <f>SUM(F51:G51)+1844</f>
        <v>312562</v>
      </c>
      <c r="I51" s="106">
        <v>0</v>
      </c>
      <c r="J51" s="106">
        <f>30.53+20518.97+4659.43+20</f>
        <v>25228.93</v>
      </c>
      <c r="K51" s="228">
        <f t="shared" si="16"/>
        <v>337790.93</v>
      </c>
      <c r="L51" s="106">
        <v>0</v>
      </c>
      <c r="M51" s="137">
        <f>1815.5</f>
        <v>1815.5</v>
      </c>
      <c r="N51" s="108">
        <f t="shared" si="14"/>
        <v>339606.43</v>
      </c>
      <c r="O51" s="106">
        <v>0</v>
      </c>
      <c r="P51" s="106">
        <f>-70</f>
        <v>-70</v>
      </c>
      <c r="Q51" s="107">
        <f>-3102</f>
        <v>-3102</v>
      </c>
      <c r="R51" s="106">
        <v>0</v>
      </c>
      <c r="S51" s="182">
        <f>SUM(N51:R51)</f>
        <v>336434.43</v>
      </c>
    </row>
    <row r="52" spans="1:20" ht="14.25" customHeight="1" thickBot="1" x14ac:dyDescent="0.3">
      <c r="A52" s="40" t="s">
        <v>33</v>
      </c>
      <c r="B52" s="50"/>
      <c r="C52" s="42">
        <f t="shared" ref="C52:J52" si="18">SUM(C54:C59)</f>
        <v>49692.41</v>
      </c>
      <c r="D52" s="42">
        <f t="shared" si="18"/>
        <v>77.22999999999999</v>
      </c>
      <c r="E52" s="88">
        <f t="shared" si="18"/>
        <v>6377.25</v>
      </c>
      <c r="F52" s="42">
        <f t="shared" si="18"/>
        <v>56146.89</v>
      </c>
      <c r="G52" s="42">
        <f t="shared" si="18"/>
        <v>0</v>
      </c>
      <c r="H52" s="42">
        <f t="shared" si="18"/>
        <v>56146.89</v>
      </c>
      <c r="I52" s="42">
        <f t="shared" si="18"/>
        <v>0</v>
      </c>
      <c r="J52" s="42">
        <f t="shared" si="18"/>
        <v>0</v>
      </c>
      <c r="K52" s="150">
        <f t="shared" si="16"/>
        <v>56146.89</v>
      </c>
      <c r="L52" s="123">
        <f t="shared" ref="L52:Q52" si="19">SUM(L54:L59)</f>
        <v>3596.76</v>
      </c>
      <c r="M52" s="124">
        <f t="shared" si="19"/>
        <v>0</v>
      </c>
      <c r="N52" s="123">
        <f t="shared" si="19"/>
        <v>58243.649999999994</v>
      </c>
      <c r="O52" s="123">
        <f t="shared" si="19"/>
        <v>0</v>
      </c>
      <c r="P52" s="123">
        <f t="shared" si="19"/>
        <v>0</v>
      </c>
      <c r="Q52" s="124">
        <f t="shared" si="19"/>
        <v>-3000</v>
      </c>
      <c r="R52" s="123">
        <f>SUM(R54:R59)</f>
        <v>0</v>
      </c>
      <c r="S52" s="172">
        <f>SUM(N52:R52)</f>
        <v>55243.649999999994</v>
      </c>
      <c r="T52" s="122"/>
    </row>
    <row r="53" spans="1:20" ht="12.75" customHeight="1" x14ac:dyDescent="0.25">
      <c r="A53" s="43" t="s">
        <v>27</v>
      </c>
      <c r="B53" s="47"/>
      <c r="C53" s="16"/>
      <c r="D53" s="16"/>
      <c r="E53" s="82"/>
      <c r="F53" s="16"/>
      <c r="G53" s="16"/>
      <c r="H53" s="102"/>
      <c r="I53" s="102"/>
      <c r="J53" s="102"/>
      <c r="K53" s="144"/>
      <c r="L53" s="102"/>
      <c r="M53" s="103"/>
      <c r="N53" s="102"/>
      <c r="O53" s="102"/>
      <c r="P53" s="102"/>
      <c r="Q53" s="103"/>
      <c r="R53" s="102"/>
      <c r="S53" s="165"/>
    </row>
    <row r="54" spans="1:20" ht="22.5" customHeight="1" x14ac:dyDescent="0.25">
      <c r="A54" s="33" t="s">
        <v>34</v>
      </c>
      <c r="B54" s="51"/>
      <c r="C54" s="19">
        <v>0</v>
      </c>
      <c r="D54" s="19">
        <f>20</f>
        <v>20</v>
      </c>
      <c r="E54" s="83">
        <v>0</v>
      </c>
      <c r="F54" s="19">
        <f>SUM(C54:E54)</f>
        <v>20</v>
      </c>
      <c r="G54" s="19">
        <v>0</v>
      </c>
      <c r="H54" s="104">
        <f t="shared" si="2"/>
        <v>20</v>
      </c>
      <c r="I54" s="104">
        <v>0</v>
      </c>
      <c r="J54" s="104">
        <v>0</v>
      </c>
      <c r="K54" s="144">
        <f t="shared" si="16"/>
        <v>20</v>
      </c>
      <c r="L54" s="104">
        <v>0</v>
      </c>
      <c r="M54" s="103">
        <v>0</v>
      </c>
      <c r="N54" s="102">
        <f t="shared" si="14"/>
        <v>20</v>
      </c>
      <c r="O54" s="104">
        <v>0</v>
      </c>
      <c r="P54" s="104">
        <v>0</v>
      </c>
      <c r="Q54" s="105">
        <v>0</v>
      </c>
      <c r="R54" s="104">
        <v>0</v>
      </c>
      <c r="S54" s="173">
        <f t="shared" ref="S54:S60" si="20">SUM(N54:R54)</f>
        <v>20</v>
      </c>
    </row>
    <row r="55" spans="1:20" ht="25.5" customHeight="1" x14ac:dyDescent="0.25">
      <c r="A55" s="48" t="s">
        <v>35</v>
      </c>
      <c r="B55" s="49" t="s">
        <v>36</v>
      </c>
      <c r="C55" s="19">
        <v>20000</v>
      </c>
      <c r="D55" s="19">
        <v>0</v>
      </c>
      <c r="E55" s="83">
        <v>0</v>
      </c>
      <c r="F55" s="19">
        <f t="shared" ref="F55:F59" si="21">SUM(C55:E55)</f>
        <v>20000</v>
      </c>
      <c r="G55" s="19">
        <v>0</v>
      </c>
      <c r="H55" s="104">
        <f t="shared" si="2"/>
        <v>20000</v>
      </c>
      <c r="I55" s="104">
        <v>0</v>
      </c>
      <c r="J55" s="104">
        <v>0</v>
      </c>
      <c r="K55" s="144">
        <f t="shared" si="16"/>
        <v>20000</v>
      </c>
      <c r="L55" s="104">
        <v>0</v>
      </c>
      <c r="M55" s="103">
        <v>0</v>
      </c>
      <c r="N55" s="102">
        <f t="shared" si="14"/>
        <v>20000</v>
      </c>
      <c r="O55" s="104">
        <v>0</v>
      </c>
      <c r="P55" s="104">
        <v>0</v>
      </c>
      <c r="Q55" s="105">
        <v>0</v>
      </c>
      <c r="R55" s="104">
        <v>0</v>
      </c>
      <c r="S55" s="173">
        <f t="shared" si="20"/>
        <v>20000</v>
      </c>
    </row>
    <row r="56" spans="1:20" ht="15" customHeight="1" x14ac:dyDescent="0.25">
      <c r="A56" s="48" t="s">
        <v>37</v>
      </c>
      <c r="B56" s="49"/>
      <c r="C56" s="19">
        <v>3215.41</v>
      </c>
      <c r="D56" s="19">
        <v>0</v>
      </c>
      <c r="E56" s="83">
        <v>0</v>
      </c>
      <c r="F56" s="19">
        <f t="shared" si="21"/>
        <v>3215.41</v>
      </c>
      <c r="G56" s="19">
        <v>0</v>
      </c>
      <c r="H56" s="104">
        <f t="shared" si="2"/>
        <v>3215.41</v>
      </c>
      <c r="I56" s="104">
        <v>0</v>
      </c>
      <c r="J56" s="104">
        <v>0</v>
      </c>
      <c r="K56" s="144">
        <f t="shared" si="16"/>
        <v>3215.41</v>
      </c>
      <c r="L56" s="104">
        <f>396.76</f>
        <v>396.76</v>
      </c>
      <c r="M56" s="103">
        <v>0</v>
      </c>
      <c r="N56" s="102">
        <f t="shared" si="14"/>
        <v>3612.17</v>
      </c>
      <c r="O56" s="104">
        <v>0</v>
      </c>
      <c r="P56" s="104">
        <v>0</v>
      </c>
      <c r="Q56" s="105">
        <f>-2500</f>
        <v>-2500</v>
      </c>
      <c r="R56" s="104">
        <v>0</v>
      </c>
      <c r="S56" s="173">
        <f t="shared" si="20"/>
        <v>1112.17</v>
      </c>
    </row>
    <row r="57" spans="1:20" ht="15" customHeight="1" x14ac:dyDescent="0.25">
      <c r="A57" s="48" t="s">
        <v>38</v>
      </c>
      <c r="B57" s="49"/>
      <c r="C57" s="19">
        <v>200</v>
      </c>
      <c r="D57" s="19">
        <v>0</v>
      </c>
      <c r="E57" s="83">
        <v>0</v>
      </c>
      <c r="F57" s="19">
        <f t="shared" si="21"/>
        <v>200</v>
      </c>
      <c r="G57" s="19">
        <v>0</v>
      </c>
      <c r="H57" s="104">
        <f t="shared" si="2"/>
        <v>200</v>
      </c>
      <c r="I57" s="104">
        <v>0</v>
      </c>
      <c r="J57" s="104">
        <v>0</v>
      </c>
      <c r="K57" s="144">
        <f t="shared" si="16"/>
        <v>200</v>
      </c>
      <c r="L57" s="104">
        <v>0</v>
      </c>
      <c r="M57" s="103">
        <v>0</v>
      </c>
      <c r="N57" s="102">
        <f t="shared" si="14"/>
        <v>200</v>
      </c>
      <c r="O57" s="104">
        <v>0</v>
      </c>
      <c r="P57" s="104">
        <v>0</v>
      </c>
      <c r="Q57" s="105">
        <v>0</v>
      </c>
      <c r="R57" s="104">
        <v>0</v>
      </c>
      <c r="S57" s="173">
        <f t="shared" si="20"/>
        <v>200</v>
      </c>
    </row>
    <row r="58" spans="1:20" ht="15" customHeight="1" x14ac:dyDescent="0.25">
      <c r="A58" s="48" t="s">
        <v>39</v>
      </c>
      <c r="B58" s="49"/>
      <c r="C58" s="19">
        <v>2000</v>
      </c>
      <c r="D58" s="19">
        <v>0</v>
      </c>
      <c r="E58" s="83">
        <v>0</v>
      </c>
      <c r="F58" s="19">
        <f t="shared" si="21"/>
        <v>2000</v>
      </c>
      <c r="G58" s="19">
        <v>0</v>
      </c>
      <c r="H58" s="104">
        <f t="shared" si="2"/>
        <v>2000</v>
      </c>
      <c r="I58" s="104">
        <v>0</v>
      </c>
      <c r="J58" s="104">
        <v>0</v>
      </c>
      <c r="K58" s="144">
        <f t="shared" si="16"/>
        <v>2000</v>
      </c>
      <c r="L58" s="104">
        <v>0</v>
      </c>
      <c r="M58" s="103">
        <v>0</v>
      </c>
      <c r="N58" s="102">
        <f>SUM(K58:M58)-1500</f>
        <v>500</v>
      </c>
      <c r="O58" s="104">
        <v>0</v>
      </c>
      <c r="P58" s="104">
        <v>0</v>
      </c>
      <c r="Q58" s="105">
        <f>-500</f>
        <v>-500</v>
      </c>
      <c r="R58" s="104">
        <v>0</v>
      </c>
      <c r="S58" s="173">
        <f t="shared" si="20"/>
        <v>0</v>
      </c>
    </row>
    <row r="59" spans="1:20" ht="15.75" customHeight="1" thickBot="1" x14ac:dyDescent="0.3">
      <c r="A59" s="44" t="s">
        <v>40</v>
      </c>
      <c r="B59" s="45"/>
      <c r="C59" s="22">
        <v>24277</v>
      </c>
      <c r="D59" s="22">
        <f>57.23</f>
        <v>57.23</v>
      </c>
      <c r="E59" s="84">
        <v>6377.25</v>
      </c>
      <c r="F59" s="22">
        <f t="shared" si="21"/>
        <v>30711.48</v>
      </c>
      <c r="G59" s="22">
        <v>0</v>
      </c>
      <c r="H59" s="106">
        <f t="shared" si="2"/>
        <v>30711.48</v>
      </c>
      <c r="I59" s="106">
        <v>0</v>
      </c>
      <c r="J59" s="106">
        <v>0</v>
      </c>
      <c r="K59" s="228">
        <f t="shared" si="16"/>
        <v>30711.48</v>
      </c>
      <c r="L59" s="106">
        <f>200+3000</f>
        <v>3200</v>
      </c>
      <c r="M59" s="137">
        <v>0</v>
      </c>
      <c r="N59" s="108">
        <f t="shared" si="14"/>
        <v>33911.479999999996</v>
      </c>
      <c r="O59" s="106">
        <v>0</v>
      </c>
      <c r="P59" s="106">
        <v>0</v>
      </c>
      <c r="Q59" s="107">
        <v>0</v>
      </c>
      <c r="R59" s="106">
        <v>0</v>
      </c>
      <c r="S59" s="182">
        <f t="shared" si="20"/>
        <v>33911.479999999996</v>
      </c>
    </row>
    <row r="60" spans="1:20" ht="14.25" customHeight="1" thickBot="1" x14ac:dyDescent="0.3">
      <c r="A60" s="40" t="s">
        <v>41</v>
      </c>
      <c r="B60" s="46"/>
      <c r="C60" s="42">
        <f t="shared" ref="C60:J60" si="22">SUM(C62:C63)</f>
        <v>154593.59</v>
      </c>
      <c r="D60" s="42">
        <f t="shared" si="22"/>
        <v>-7815.75</v>
      </c>
      <c r="E60" s="88">
        <f t="shared" si="22"/>
        <v>23563.32</v>
      </c>
      <c r="F60" s="42">
        <f t="shared" si="22"/>
        <v>170341.16</v>
      </c>
      <c r="G60" s="42">
        <f t="shared" si="22"/>
        <v>-732.61999999999989</v>
      </c>
      <c r="H60" s="42">
        <f t="shared" si="22"/>
        <v>168724.94</v>
      </c>
      <c r="I60" s="42">
        <f t="shared" si="22"/>
        <v>-4423.55</v>
      </c>
      <c r="J60" s="42">
        <f t="shared" si="22"/>
        <v>-3285.6000000000004</v>
      </c>
      <c r="K60" s="150">
        <f>SUM(K62:K63)</f>
        <v>161215.16</v>
      </c>
      <c r="L60" s="123">
        <f>SUM(L62:L63)</f>
        <v>7000</v>
      </c>
      <c r="M60" s="124">
        <f>SUM(M62:M63)</f>
        <v>-62</v>
      </c>
      <c r="N60" s="123">
        <f t="shared" si="14"/>
        <v>168153.16</v>
      </c>
      <c r="O60" s="123">
        <f>SUM(O62:O63)</f>
        <v>0</v>
      </c>
      <c r="P60" s="123">
        <f>SUM(P62:P63)</f>
        <v>526.53000000000009</v>
      </c>
      <c r="Q60" s="124">
        <f>SUM(Q62:Q63)</f>
        <v>-1783</v>
      </c>
      <c r="R60" s="123">
        <f>SUM(R62:R63)</f>
        <v>-56</v>
      </c>
      <c r="S60" s="172">
        <f t="shared" si="20"/>
        <v>166840.69</v>
      </c>
      <c r="T60" s="122"/>
    </row>
    <row r="61" spans="1:20" ht="12.75" customHeight="1" x14ac:dyDescent="0.25">
      <c r="A61" s="43" t="s">
        <v>27</v>
      </c>
      <c r="B61" s="47"/>
      <c r="C61" s="16"/>
      <c r="D61" s="16"/>
      <c r="E61" s="82"/>
      <c r="F61" s="16"/>
      <c r="G61" s="16"/>
      <c r="H61" s="102"/>
      <c r="I61" s="102"/>
      <c r="J61" s="102"/>
      <c r="K61" s="144"/>
      <c r="L61" s="102"/>
      <c r="M61" s="103"/>
      <c r="N61" s="102"/>
      <c r="O61" s="102"/>
      <c r="P61" s="102"/>
      <c r="Q61" s="103"/>
      <c r="R61" s="102"/>
      <c r="S61" s="165"/>
    </row>
    <row r="62" spans="1:20" ht="15" customHeight="1" x14ac:dyDescent="0.25">
      <c r="A62" s="48" t="s">
        <v>30</v>
      </c>
      <c r="B62" s="49"/>
      <c r="C62" s="19">
        <v>61129.09</v>
      </c>
      <c r="D62" s="19">
        <f>-7964.48+419.4-2000+421.2-706.68</f>
        <v>-9830.56</v>
      </c>
      <c r="E62" s="83">
        <v>23206.32</v>
      </c>
      <c r="F62" s="19">
        <f>SUM(C62:E62)</f>
        <v>74504.850000000006</v>
      </c>
      <c r="G62" s="19">
        <f>-611.23-44.9-1052.1-194.53</f>
        <v>-1902.76</v>
      </c>
      <c r="H62" s="104">
        <f>SUM(F62:G62)-770.3</f>
        <v>71831.790000000008</v>
      </c>
      <c r="I62" s="104">
        <v>-5728.55</v>
      </c>
      <c r="J62" s="104">
        <f>21.7-837-2494.3</f>
        <v>-3309.6000000000004</v>
      </c>
      <c r="K62" s="144">
        <f>SUM(H62:J62)+277.37</f>
        <v>63071.010000000009</v>
      </c>
      <c r="L62" s="104">
        <f>5000</f>
        <v>5000</v>
      </c>
      <c r="M62" s="103">
        <f>-62</f>
        <v>-62</v>
      </c>
      <c r="N62" s="102">
        <f t="shared" si="14"/>
        <v>68009.010000000009</v>
      </c>
      <c r="O62" s="104">
        <v>0</v>
      </c>
      <c r="P62" s="104">
        <f>-1000+1516.44+6.24+17.51</f>
        <v>540.19000000000005</v>
      </c>
      <c r="Q62" s="105">
        <f>-400</f>
        <v>-400</v>
      </c>
      <c r="R62" s="104">
        <f>-54</f>
        <v>-54</v>
      </c>
      <c r="S62" s="173">
        <f>SUM(N62:R62)</f>
        <v>68095.200000000012</v>
      </c>
    </row>
    <row r="63" spans="1:20" ht="27" customHeight="1" thickBot="1" x14ac:dyDescent="0.3">
      <c r="A63" s="44" t="s">
        <v>42</v>
      </c>
      <c r="B63" s="45"/>
      <c r="C63" s="22">
        <v>93464.5</v>
      </c>
      <c r="D63" s="22">
        <f>27.59+1718.22+269</f>
        <v>2014.81</v>
      </c>
      <c r="E63" s="22">
        <v>357</v>
      </c>
      <c r="F63" s="22">
        <f>SUM(C63:E63)</f>
        <v>95836.31</v>
      </c>
      <c r="G63" s="22">
        <f>988.6+181.54</f>
        <v>1170.1400000000001</v>
      </c>
      <c r="H63" s="106">
        <f>SUM(F63:G63)-113.3</f>
        <v>96893.15</v>
      </c>
      <c r="I63" s="106">
        <v>1305</v>
      </c>
      <c r="J63" s="106">
        <f>24</f>
        <v>24</v>
      </c>
      <c r="K63" s="228">
        <f>SUM(H63:J63)-78</f>
        <v>98144.15</v>
      </c>
      <c r="L63" s="106">
        <f>2000</f>
        <v>2000</v>
      </c>
      <c r="M63" s="137">
        <v>0</v>
      </c>
      <c r="N63" s="108">
        <f t="shared" si="14"/>
        <v>100144.15</v>
      </c>
      <c r="O63" s="106">
        <v>0</v>
      </c>
      <c r="P63" s="106">
        <f>-11-2.66</f>
        <v>-13.66</v>
      </c>
      <c r="Q63" s="107">
        <f>-1383</f>
        <v>-1383</v>
      </c>
      <c r="R63" s="106">
        <f>-2</f>
        <v>-2</v>
      </c>
      <c r="S63" s="182">
        <f>SUM(N63:R63)</f>
        <v>98745.489999999991</v>
      </c>
    </row>
    <row r="64" spans="1:20" ht="15.75" customHeight="1" thickBot="1" x14ac:dyDescent="0.3">
      <c r="A64" s="40" t="s">
        <v>43</v>
      </c>
      <c r="B64" s="50"/>
      <c r="C64" s="42">
        <f t="shared" ref="C64:J64" si="23">SUM(C66:C68)</f>
        <v>2282.77</v>
      </c>
      <c r="D64" s="42">
        <f t="shared" si="23"/>
        <v>0</v>
      </c>
      <c r="E64" s="88">
        <f t="shared" si="23"/>
        <v>0</v>
      </c>
      <c r="F64" s="42">
        <f t="shared" si="23"/>
        <v>2282.77</v>
      </c>
      <c r="G64" s="72">
        <f t="shared" si="23"/>
        <v>0</v>
      </c>
      <c r="H64" s="42">
        <f t="shared" si="23"/>
        <v>2282.77</v>
      </c>
      <c r="I64" s="42">
        <f t="shared" si="23"/>
        <v>0</v>
      </c>
      <c r="J64" s="42">
        <f t="shared" si="23"/>
        <v>0</v>
      </c>
      <c r="K64" s="150">
        <f t="shared" si="16"/>
        <v>2282.77</v>
      </c>
      <c r="L64" s="123">
        <f>SUM(L66:L68)</f>
        <v>0</v>
      </c>
      <c r="M64" s="124">
        <f>SUM(M66:M68)</f>
        <v>0</v>
      </c>
      <c r="N64" s="123">
        <f t="shared" si="14"/>
        <v>2282.77</v>
      </c>
      <c r="O64" s="123">
        <f>SUM(O66:O68)</f>
        <v>0</v>
      </c>
      <c r="P64" s="123">
        <f>SUM(P66:P68)</f>
        <v>0</v>
      </c>
      <c r="Q64" s="124">
        <f>SUM(Q66:Q68)</f>
        <v>0</v>
      </c>
      <c r="R64" s="123">
        <f>SUM(R66:R68)</f>
        <v>0</v>
      </c>
      <c r="S64" s="172">
        <f>SUM(N64:R64)</f>
        <v>2282.77</v>
      </c>
      <c r="T64" s="122"/>
    </row>
    <row r="65" spans="1:20" ht="15" customHeight="1" x14ac:dyDescent="0.25">
      <c r="A65" s="52" t="s">
        <v>27</v>
      </c>
      <c r="B65" s="47"/>
      <c r="C65" s="16"/>
      <c r="D65" s="16"/>
      <c r="E65" s="82"/>
      <c r="F65" s="16"/>
      <c r="G65" s="96"/>
      <c r="H65" s="118"/>
      <c r="I65" s="118"/>
      <c r="J65" s="118"/>
      <c r="K65" s="144"/>
      <c r="L65" s="102"/>
      <c r="M65" s="103"/>
      <c r="N65" s="102"/>
      <c r="O65" s="102"/>
      <c r="P65" s="102"/>
      <c r="Q65" s="103"/>
      <c r="R65" s="102"/>
      <c r="S65" s="165"/>
    </row>
    <row r="66" spans="1:20" ht="26.25" customHeight="1" x14ac:dyDescent="0.25">
      <c r="A66" s="17" t="s">
        <v>44</v>
      </c>
      <c r="B66" s="53" t="s">
        <v>45</v>
      </c>
      <c r="C66" s="104">
        <v>15</v>
      </c>
      <c r="D66" s="104">
        <v>0</v>
      </c>
      <c r="E66" s="105">
        <v>0</v>
      </c>
      <c r="F66" s="104">
        <f>SUM(C66:E66)</f>
        <v>15</v>
      </c>
      <c r="G66" s="104">
        <v>0</v>
      </c>
      <c r="H66" s="104">
        <f t="shared" si="2"/>
        <v>15</v>
      </c>
      <c r="I66" s="104">
        <v>0</v>
      </c>
      <c r="J66" s="104">
        <v>0</v>
      </c>
      <c r="K66" s="144">
        <f t="shared" si="16"/>
        <v>15</v>
      </c>
      <c r="L66" s="104">
        <v>0</v>
      </c>
      <c r="M66" s="103">
        <v>0</v>
      </c>
      <c r="N66" s="102">
        <f t="shared" si="14"/>
        <v>15</v>
      </c>
      <c r="O66" s="104">
        <v>0</v>
      </c>
      <c r="P66" s="104">
        <v>0</v>
      </c>
      <c r="Q66" s="105">
        <v>0</v>
      </c>
      <c r="R66" s="104">
        <v>0</v>
      </c>
      <c r="S66" s="173">
        <f>SUM(N66:R66)</f>
        <v>15</v>
      </c>
    </row>
    <row r="67" spans="1:20" ht="15" customHeight="1" x14ac:dyDescent="0.25">
      <c r="A67" s="54" t="s">
        <v>30</v>
      </c>
      <c r="B67" s="49"/>
      <c r="C67" s="104">
        <v>64.12</v>
      </c>
      <c r="D67" s="104">
        <v>0</v>
      </c>
      <c r="E67" s="105">
        <v>0</v>
      </c>
      <c r="F67" s="104">
        <f t="shared" ref="F67:F68" si="24">SUM(C67:E67)</f>
        <v>64.12</v>
      </c>
      <c r="G67" s="104">
        <v>0</v>
      </c>
      <c r="H67" s="104">
        <f t="shared" si="2"/>
        <v>64.12</v>
      </c>
      <c r="I67" s="104">
        <v>0</v>
      </c>
      <c r="J67" s="104">
        <v>0</v>
      </c>
      <c r="K67" s="144">
        <f t="shared" si="16"/>
        <v>64.12</v>
      </c>
      <c r="L67" s="104">
        <v>0</v>
      </c>
      <c r="M67" s="103">
        <v>0</v>
      </c>
      <c r="N67" s="102">
        <f t="shared" si="14"/>
        <v>64.12</v>
      </c>
      <c r="O67" s="104">
        <v>0</v>
      </c>
      <c r="P67" s="104">
        <v>0</v>
      </c>
      <c r="Q67" s="105">
        <v>0</v>
      </c>
      <c r="R67" s="104">
        <v>0</v>
      </c>
      <c r="S67" s="173">
        <f>SUM(N67:R67)</f>
        <v>64.12</v>
      </c>
    </row>
    <row r="68" spans="1:20" ht="17.25" customHeight="1" thickBot="1" x14ac:dyDescent="0.3">
      <c r="A68" s="55" t="s">
        <v>46</v>
      </c>
      <c r="B68" s="45"/>
      <c r="C68" s="106">
        <v>2203.65</v>
      </c>
      <c r="D68" s="106">
        <v>0</v>
      </c>
      <c r="E68" s="107">
        <v>0</v>
      </c>
      <c r="F68" s="106">
        <f t="shared" si="24"/>
        <v>2203.65</v>
      </c>
      <c r="G68" s="106">
        <v>0</v>
      </c>
      <c r="H68" s="106">
        <f t="shared" si="2"/>
        <v>2203.65</v>
      </c>
      <c r="I68" s="106">
        <v>0</v>
      </c>
      <c r="J68" s="106">
        <v>0</v>
      </c>
      <c r="K68" s="228">
        <f t="shared" si="16"/>
        <v>2203.65</v>
      </c>
      <c r="L68" s="106">
        <v>0</v>
      </c>
      <c r="M68" s="137">
        <v>0</v>
      </c>
      <c r="N68" s="108">
        <f t="shared" si="14"/>
        <v>2203.65</v>
      </c>
      <c r="O68" s="106">
        <v>0</v>
      </c>
      <c r="P68" s="106">
        <v>0</v>
      </c>
      <c r="Q68" s="107">
        <v>0</v>
      </c>
      <c r="R68" s="106">
        <v>0</v>
      </c>
      <c r="S68" s="182">
        <f>SUM(N68:R68)</f>
        <v>2203.65</v>
      </c>
    </row>
    <row r="69" spans="1:20" ht="14.25" customHeight="1" thickBot="1" x14ac:dyDescent="0.3">
      <c r="A69" s="56" t="s">
        <v>47</v>
      </c>
      <c r="B69" s="50"/>
      <c r="C69" s="42">
        <f t="shared" ref="C69:M69" si="25">SUM(C71:C184)</f>
        <v>314663.33999999997</v>
      </c>
      <c r="D69" s="42">
        <f t="shared" si="25"/>
        <v>591.24000000000024</v>
      </c>
      <c r="E69" s="88">
        <f t="shared" si="25"/>
        <v>3748.33</v>
      </c>
      <c r="F69" s="42">
        <f t="shared" si="25"/>
        <v>292471.91000000003</v>
      </c>
      <c r="G69" s="42">
        <f t="shared" si="25"/>
        <v>232</v>
      </c>
      <c r="H69" s="42">
        <f t="shared" si="25"/>
        <v>321423.91000000003</v>
      </c>
      <c r="I69" s="42">
        <f t="shared" si="25"/>
        <v>2643.97</v>
      </c>
      <c r="J69" s="42">
        <f t="shared" si="25"/>
        <v>-4864.26</v>
      </c>
      <c r="K69" s="150">
        <f t="shared" si="25"/>
        <v>319429.62000000005</v>
      </c>
      <c r="L69" s="123">
        <f t="shared" si="25"/>
        <v>360.00000000000023</v>
      </c>
      <c r="M69" s="124">
        <f t="shared" si="25"/>
        <v>-524.76999999999987</v>
      </c>
      <c r="N69" s="123">
        <f t="shared" si="14"/>
        <v>319264.85000000003</v>
      </c>
      <c r="O69" s="123">
        <f>SUM(O71:O184)</f>
        <v>0</v>
      </c>
      <c r="P69" s="123">
        <f>SUM(P71:P184)</f>
        <v>363.48</v>
      </c>
      <c r="Q69" s="124">
        <f>SUM(Q71:Q184)</f>
        <v>-12594.48</v>
      </c>
      <c r="R69" s="123">
        <f>SUM(R71:R184)</f>
        <v>17.39</v>
      </c>
      <c r="S69" s="172">
        <f>SUM(N69:R69)</f>
        <v>307051.24000000005</v>
      </c>
      <c r="T69" s="122"/>
    </row>
    <row r="70" spans="1:20" ht="12.75" customHeight="1" x14ac:dyDescent="0.25">
      <c r="A70" s="57" t="s">
        <v>27</v>
      </c>
      <c r="B70" s="47"/>
      <c r="C70" s="16"/>
      <c r="D70" s="16"/>
      <c r="E70" s="82"/>
      <c r="F70" s="16"/>
      <c r="G70" s="16"/>
      <c r="H70" s="102"/>
      <c r="I70" s="102"/>
      <c r="J70" s="102"/>
      <c r="K70" s="144"/>
      <c r="L70" s="102"/>
      <c r="M70" s="103"/>
      <c r="N70" s="102"/>
      <c r="O70" s="102"/>
      <c r="P70" s="102"/>
      <c r="Q70" s="103"/>
      <c r="R70" s="102"/>
      <c r="S70" s="165"/>
    </row>
    <row r="71" spans="1:20" ht="15" customHeight="1" x14ac:dyDescent="0.25">
      <c r="A71" s="54" t="s">
        <v>30</v>
      </c>
      <c r="B71" s="53"/>
      <c r="C71" s="104">
        <v>5300</v>
      </c>
      <c r="D71" s="104">
        <f>-140</f>
        <v>-140</v>
      </c>
      <c r="E71" s="105">
        <v>1850</v>
      </c>
      <c r="F71" s="104">
        <f>SUM(C71:E71)</f>
        <v>7010</v>
      </c>
      <c r="G71" s="104">
        <f>100+5</f>
        <v>105</v>
      </c>
      <c r="H71" s="104">
        <f>SUM(F71:G71)+360</f>
        <v>7475</v>
      </c>
      <c r="I71" s="104">
        <v>-380</v>
      </c>
      <c r="J71" s="104">
        <f>-100</f>
        <v>-100</v>
      </c>
      <c r="K71" s="144">
        <f t="shared" si="16"/>
        <v>6995</v>
      </c>
      <c r="L71" s="104">
        <v>0</v>
      </c>
      <c r="M71" s="103">
        <v>0</v>
      </c>
      <c r="N71" s="102">
        <f t="shared" si="14"/>
        <v>6995</v>
      </c>
      <c r="O71" s="104">
        <v>0</v>
      </c>
      <c r="P71" s="104">
        <f>-125</f>
        <v>-125</v>
      </c>
      <c r="Q71" s="105">
        <f>-1000</f>
        <v>-1000</v>
      </c>
      <c r="R71" s="104">
        <v>0</v>
      </c>
      <c r="S71" s="173">
        <f t="shared" ref="S71:S102" si="26">SUM(N71:R71)</f>
        <v>5870</v>
      </c>
    </row>
    <row r="72" spans="1:20" ht="28.5" customHeight="1" x14ac:dyDescent="0.25">
      <c r="A72" s="17" t="s">
        <v>312</v>
      </c>
      <c r="B72" s="53" t="s">
        <v>313</v>
      </c>
      <c r="C72" s="104">
        <v>0</v>
      </c>
      <c r="D72" s="104"/>
      <c r="E72" s="105"/>
      <c r="F72" s="104">
        <v>0</v>
      </c>
      <c r="G72" s="104">
        <f>100</f>
        <v>100</v>
      </c>
      <c r="H72" s="104">
        <f>SUM(F72:G72)</f>
        <v>100</v>
      </c>
      <c r="I72" s="104">
        <v>0</v>
      </c>
      <c r="J72" s="104">
        <v>0</v>
      </c>
      <c r="K72" s="144">
        <f t="shared" si="16"/>
        <v>100</v>
      </c>
      <c r="L72" s="104">
        <v>0</v>
      </c>
      <c r="M72" s="103">
        <v>0</v>
      </c>
      <c r="N72" s="102">
        <f t="shared" si="14"/>
        <v>100</v>
      </c>
      <c r="O72" s="104">
        <v>0</v>
      </c>
      <c r="P72" s="104">
        <v>0</v>
      </c>
      <c r="Q72" s="105">
        <v>0</v>
      </c>
      <c r="R72" s="104">
        <v>0</v>
      </c>
      <c r="S72" s="173">
        <f t="shared" si="26"/>
        <v>100</v>
      </c>
    </row>
    <row r="73" spans="1:20" ht="27.75" customHeight="1" x14ac:dyDescent="0.25">
      <c r="A73" s="17" t="s">
        <v>48</v>
      </c>
      <c r="B73" s="53" t="s">
        <v>49</v>
      </c>
      <c r="C73" s="104">
        <v>7400</v>
      </c>
      <c r="D73" s="104">
        <v>0</v>
      </c>
      <c r="E73" s="136">
        <v>0</v>
      </c>
      <c r="F73" s="104">
        <f t="shared" ref="F73:F178" si="27">SUM(C73:E73)</f>
        <v>7400</v>
      </c>
      <c r="G73" s="104">
        <v>0</v>
      </c>
      <c r="H73" s="104">
        <f t="shared" si="2"/>
        <v>7400</v>
      </c>
      <c r="I73" s="104">
        <v>0</v>
      </c>
      <c r="J73" s="104">
        <v>0</v>
      </c>
      <c r="K73" s="144">
        <f t="shared" si="16"/>
        <v>7400</v>
      </c>
      <c r="L73" s="104">
        <v>0</v>
      </c>
      <c r="M73" s="103">
        <v>0</v>
      </c>
      <c r="N73" s="102">
        <f t="shared" si="14"/>
        <v>7400</v>
      </c>
      <c r="O73" s="104">
        <v>0</v>
      </c>
      <c r="P73" s="104">
        <v>0</v>
      </c>
      <c r="Q73" s="105">
        <v>0</v>
      </c>
      <c r="R73" s="104">
        <v>0</v>
      </c>
      <c r="S73" s="173">
        <f t="shared" si="26"/>
        <v>7400</v>
      </c>
    </row>
    <row r="74" spans="1:20" ht="23.25" customHeight="1" x14ac:dyDescent="0.25">
      <c r="A74" s="17" t="s">
        <v>50</v>
      </c>
      <c r="B74" s="53" t="s">
        <v>51</v>
      </c>
      <c r="C74" s="104">
        <v>3500</v>
      </c>
      <c r="D74" s="104">
        <v>0</v>
      </c>
      <c r="E74" s="136">
        <v>-320</v>
      </c>
      <c r="F74" s="104">
        <f t="shared" si="27"/>
        <v>3180</v>
      </c>
      <c r="G74" s="104">
        <v>0</v>
      </c>
      <c r="H74" s="104">
        <f t="shared" si="2"/>
        <v>3180</v>
      </c>
      <c r="I74" s="104">
        <v>0</v>
      </c>
      <c r="J74" s="104">
        <v>0</v>
      </c>
      <c r="K74" s="144">
        <f t="shared" si="16"/>
        <v>3180</v>
      </c>
      <c r="L74" s="104">
        <v>0</v>
      </c>
      <c r="M74" s="103">
        <v>0</v>
      </c>
      <c r="N74" s="102">
        <f t="shared" si="14"/>
        <v>3180</v>
      </c>
      <c r="O74" s="104">
        <v>0</v>
      </c>
      <c r="P74" s="104">
        <v>0</v>
      </c>
      <c r="Q74" s="105">
        <v>0</v>
      </c>
      <c r="R74" s="104">
        <v>0</v>
      </c>
      <c r="S74" s="173">
        <f t="shared" si="26"/>
        <v>3180</v>
      </c>
    </row>
    <row r="75" spans="1:20" ht="25.5" x14ac:dyDescent="0.25">
      <c r="A75" s="17" t="s">
        <v>52</v>
      </c>
      <c r="B75" s="53" t="s">
        <v>53</v>
      </c>
      <c r="C75" s="104">
        <v>900</v>
      </c>
      <c r="D75" s="104">
        <v>0</v>
      </c>
      <c r="E75" s="105">
        <v>0</v>
      </c>
      <c r="F75" s="104">
        <f t="shared" si="27"/>
        <v>900</v>
      </c>
      <c r="G75" s="104">
        <v>0</v>
      </c>
      <c r="H75" s="104">
        <f t="shared" si="2"/>
        <v>900</v>
      </c>
      <c r="I75" s="104">
        <v>0</v>
      </c>
      <c r="J75" s="104">
        <v>0</v>
      </c>
      <c r="K75" s="144">
        <f t="shared" si="16"/>
        <v>900</v>
      </c>
      <c r="L75" s="104">
        <v>0</v>
      </c>
      <c r="M75" s="103">
        <v>0</v>
      </c>
      <c r="N75" s="102">
        <f t="shared" si="14"/>
        <v>900</v>
      </c>
      <c r="O75" s="104">
        <v>0</v>
      </c>
      <c r="P75" s="104">
        <v>0</v>
      </c>
      <c r="Q75" s="105">
        <v>0</v>
      </c>
      <c r="R75" s="104">
        <v>0</v>
      </c>
      <c r="S75" s="173">
        <f t="shared" si="26"/>
        <v>900</v>
      </c>
    </row>
    <row r="76" spans="1:20" ht="15" customHeight="1" x14ac:dyDescent="0.25">
      <c r="A76" s="54" t="s">
        <v>54</v>
      </c>
      <c r="B76" s="49" t="s">
        <v>55</v>
      </c>
      <c r="C76" s="109">
        <v>42922</v>
      </c>
      <c r="D76" s="109">
        <v>0</v>
      </c>
      <c r="E76" s="105">
        <v>0</v>
      </c>
      <c r="F76" s="104">
        <f t="shared" si="27"/>
        <v>42922</v>
      </c>
      <c r="G76" s="104">
        <v>0</v>
      </c>
      <c r="H76" s="104">
        <f t="shared" si="2"/>
        <v>42922</v>
      </c>
      <c r="I76" s="104">
        <v>3473.97</v>
      </c>
      <c r="J76" s="104">
        <v>0</v>
      </c>
      <c r="K76" s="144">
        <f t="shared" si="16"/>
        <v>46395.97</v>
      </c>
      <c r="L76" s="104">
        <v>0</v>
      </c>
      <c r="M76" s="103">
        <v>0</v>
      </c>
      <c r="N76" s="102">
        <f t="shared" si="14"/>
        <v>46395.97</v>
      </c>
      <c r="O76" s="104">
        <v>0</v>
      </c>
      <c r="P76" s="104">
        <v>0</v>
      </c>
      <c r="Q76" s="105">
        <v>0</v>
      </c>
      <c r="R76" s="104">
        <v>0</v>
      </c>
      <c r="S76" s="173">
        <f t="shared" si="26"/>
        <v>46395.97</v>
      </c>
    </row>
    <row r="77" spans="1:20" ht="15" customHeight="1" x14ac:dyDescent="0.25">
      <c r="A77" s="54" t="s">
        <v>56</v>
      </c>
      <c r="B77" s="53" t="s">
        <v>36</v>
      </c>
      <c r="C77" s="109">
        <v>3692</v>
      </c>
      <c r="D77" s="109">
        <v>0</v>
      </c>
      <c r="E77" s="105">
        <v>95</v>
      </c>
      <c r="F77" s="104">
        <f t="shared" si="27"/>
        <v>3787</v>
      </c>
      <c r="G77" s="104">
        <v>0</v>
      </c>
      <c r="H77" s="104">
        <f t="shared" si="2"/>
        <v>3787</v>
      </c>
      <c r="I77" s="104">
        <v>0</v>
      </c>
      <c r="J77" s="104">
        <v>0</v>
      </c>
      <c r="K77" s="144">
        <f t="shared" si="16"/>
        <v>3787</v>
      </c>
      <c r="L77" s="104">
        <v>0</v>
      </c>
      <c r="M77" s="103">
        <v>0</v>
      </c>
      <c r="N77" s="102">
        <f t="shared" si="14"/>
        <v>3787</v>
      </c>
      <c r="O77" s="104">
        <v>0</v>
      </c>
      <c r="P77" s="104">
        <v>0</v>
      </c>
      <c r="Q77" s="105">
        <v>0</v>
      </c>
      <c r="R77" s="104">
        <v>0</v>
      </c>
      <c r="S77" s="173">
        <f t="shared" si="26"/>
        <v>3787</v>
      </c>
    </row>
    <row r="78" spans="1:20" ht="15" customHeight="1" x14ac:dyDescent="0.25">
      <c r="A78" s="54" t="s">
        <v>304</v>
      </c>
      <c r="B78" s="53" t="s">
        <v>298</v>
      </c>
      <c r="C78" s="109">
        <v>0</v>
      </c>
      <c r="D78" s="109">
        <f>38.94</f>
        <v>38.94</v>
      </c>
      <c r="E78" s="105">
        <v>0</v>
      </c>
      <c r="F78" s="104">
        <f>SUM(C78:E78)</f>
        <v>38.94</v>
      </c>
      <c r="G78" s="104">
        <v>0</v>
      </c>
      <c r="H78" s="104">
        <f t="shared" si="2"/>
        <v>38.94</v>
      </c>
      <c r="I78" s="104">
        <v>0</v>
      </c>
      <c r="J78" s="104">
        <f>-23.45</f>
        <v>-23.45</v>
      </c>
      <c r="K78" s="144">
        <f t="shared" si="16"/>
        <v>15.489999999999998</v>
      </c>
      <c r="L78" s="104">
        <v>0</v>
      </c>
      <c r="M78" s="103">
        <v>0</v>
      </c>
      <c r="N78" s="102">
        <f>SUM(K78:M78)</f>
        <v>15.489999999999998</v>
      </c>
      <c r="O78" s="104">
        <v>0</v>
      </c>
      <c r="P78" s="104">
        <v>0</v>
      </c>
      <c r="Q78" s="105">
        <v>0</v>
      </c>
      <c r="R78" s="104">
        <v>0</v>
      </c>
      <c r="S78" s="173">
        <f t="shared" si="26"/>
        <v>15.489999999999998</v>
      </c>
    </row>
    <row r="79" spans="1:20" ht="15" customHeight="1" x14ac:dyDescent="0.25">
      <c r="A79" s="54" t="s">
        <v>304</v>
      </c>
      <c r="B79" s="53" t="s">
        <v>359</v>
      </c>
      <c r="C79" s="109">
        <v>0</v>
      </c>
      <c r="D79" s="109"/>
      <c r="E79" s="105"/>
      <c r="F79" s="104"/>
      <c r="G79" s="104"/>
      <c r="H79" s="104"/>
      <c r="I79" s="104"/>
      <c r="J79" s="104"/>
      <c r="K79" s="144">
        <v>0</v>
      </c>
      <c r="L79" s="104">
        <v>0</v>
      </c>
      <c r="M79" s="103">
        <f>86.63</f>
        <v>86.63</v>
      </c>
      <c r="N79" s="102">
        <f>SUM(K79:M79)</f>
        <v>86.63</v>
      </c>
      <c r="O79" s="104">
        <v>0</v>
      </c>
      <c r="P79" s="104">
        <v>0</v>
      </c>
      <c r="Q79" s="105">
        <v>0</v>
      </c>
      <c r="R79" s="104">
        <v>0</v>
      </c>
      <c r="S79" s="173">
        <f t="shared" si="26"/>
        <v>86.63</v>
      </c>
    </row>
    <row r="80" spans="1:20" ht="15" customHeight="1" x14ac:dyDescent="0.25">
      <c r="A80" s="54" t="s">
        <v>305</v>
      </c>
      <c r="B80" s="53" t="s">
        <v>298</v>
      </c>
      <c r="C80" s="109">
        <v>0</v>
      </c>
      <c r="D80" s="109">
        <f>4.33</f>
        <v>4.33</v>
      </c>
      <c r="E80" s="105">
        <v>0</v>
      </c>
      <c r="F80" s="104">
        <f>SUM(C80:E80)</f>
        <v>4.33</v>
      </c>
      <c r="G80" s="104">
        <v>0</v>
      </c>
      <c r="H80" s="104">
        <f t="shared" si="2"/>
        <v>4.33</v>
      </c>
      <c r="I80" s="104">
        <v>0</v>
      </c>
      <c r="J80" s="104">
        <f>-2.6</f>
        <v>-2.6</v>
      </c>
      <c r="K80" s="144">
        <f t="shared" si="16"/>
        <v>1.73</v>
      </c>
      <c r="L80" s="104">
        <v>0</v>
      </c>
      <c r="M80" s="103">
        <v>0</v>
      </c>
      <c r="N80" s="102">
        <f t="shared" si="14"/>
        <v>1.73</v>
      </c>
      <c r="O80" s="104">
        <v>0</v>
      </c>
      <c r="P80" s="104">
        <v>0</v>
      </c>
      <c r="Q80" s="105">
        <v>0</v>
      </c>
      <c r="R80" s="104">
        <v>0</v>
      </c>
      <c r="S80" s="173">
        <f t="shared" si="26"/>
        <v>1.73</v>
      </c>
    </row>
    <row r="81" spans="1:19" ht="15" customHeight="1" x14ac:dyDescent="0.25">
      <c r="A81" s="54" t="s">
        <v>305</v>
      </c>
      <c r="B81" s="53" t="s">
        <v>359</v>
      </c>
      <c r="C81" s="109">
        <v>0</v>
      </c>
      <c r="D81" s="109"/>
      <c r="E81" s="105"/>
      <c r="F81" s="104"/>
      <c r="G81" s="104"/>
      <c r="H81" s="104"/>
      <c r="I81" s="104"/>
      <c r="J81" s="104"/>
      <c r="K81" s="144">
        <v>0</v>
      </c>
      <c r="L81" s="104">
        <v>0</v>
      </c>
      <c r="M81" s="103">
        <f>9.63</f>
        <v>9.6300000000000008</v>
      </c>
      <c r="N81" s="102">
        <f>SUM(K81:M81)</f>
        <v>9.6300000000000008</v>
      </c>
      <c r="O81" s="104">
        <v>0</v>
      </c>
      <c r="P81" s="104">
        <v>0</v>
      </c>
      <c r="Q81" s="105">
        <v>0</v>
      </c>
      <c r="R81" s="104">
        <v>0</v>
      </c>
      <c r="S81" s="173">
        <f t="shared" si="26"/>
        <v>9.6300000000000008</v>
      </c>
    </row>
    <row r="82" spans="1:19" ht="15" customHeight="1" x14ac:dyDescent="0.25">
      <c r="A82" s="54" t="s">
        <v>57</v>
      </c>
      <c r="B82" s="53" t="s">
        <v>36</v>
      </c>
      <c r="C82" s="109">
        <v>4544</v>
      </c>
      <c r="D82" s="109">
        <v>0</v>
      </c>
      <c r="E82" s="105">
        <v>110</v>
      </c>
      <c r="F82" s="104">
        <f t="shared" si="27"/>
        <v>4654</v>
      </c>
      <c r="G82" s="104">
        <v>0</v>
      </c>
      <c r="H82" s="104">
        <f t="shared" si="2"/>
        <v>4654</v>
      </c>
      <c r="I82" s="104">
        <v>0</v>
      </c>
      <c r="J82" s="104">
        <v>0</v>
      </c>
      <c r="K82" s="144">
        <f t="shared" si="16"/>
        <v>4654</v>
      </c>
      <c r="L82" s="104">
        <v>0</v>
      </c>
      <c r="M82" s="103">
        <v>0</v>
      </c>
      <c r="N82" s="102">
        <f t="shared" si="14"/>
        <v>4654</v>
      </c>
      <c r="O82" s="104">
        <v>0</v>
      </c>
      <c r="P82" s="104">
        <v>0</v>
      </c>
      <c r="Q82" s="105">
        <v>0</v>
      </c>
      <c r="R82" s="104">
        <v>0</v>
      </c>
      <c r="S82" s="173">
        <f t="shared" si="26"/>
        <v>4654</v>
      </c>
    </row>
    <row r="83" spans="1:19" ht="15" customHeight="1" x14ac:dyDescent="0.25">
      <c r="A83" s="54" t="s">
        <v>300</v>
      </c>
      <c r="B83" s="53" t="s">
        <v>298</v>
      </c>
      <c r="C83" s="109">
        <v>0</v>
      </c>
      <c r="D83" s="109">
        <f>63.04</f>
        <v>63.04</v>
      </c>
      <c r="E83" s="105">
        <v>0</v>
      </c>
      <c r="F83" s="104">
        <f>SUM(C83:E83)</f>
        <v>63.04</v>
      </c>
      <c r="G83" s="104">
        <v>0</v>
      </c>
      <c r="H83" s="104">
        <f t="shared" si="2"/>
        <v>63.04</v>
      </c>
      <c r="I83" s="104">
        <v>0</v>
      </c>
      <c r="J83" s="104">
        <f>-54.6</f>
        <v>-54.6</v>
      </c>
      <c r="K83" s="144">
        <f t="shared" si="16"/>
        <v>8.4399999999999977</v>
      </c>
      <c r="L83" s="104">
        <v>0</v>
      </c>
      <c r="M83" s="103">
        <v>0</v>
      </c>
      <c r="N83" s="102">
        <f t="shared" si="14"/>
        <v>8.4399999999999977</v>
      </c>
      <c r="O83" s="104">
        <v>0</v>
      </c>
      <c r="P83" s="104">
        <v>0</v>
      </c>
      <c r="Q83" s="105">
        <v>0</v>
      </c>
      <c r="R83" s="104">
        <v>0</v>
      </c>
      <c r="S83" s="173">
        <f t="shared" si="26"/>
        <v>8.4399999999999977</v>
      </c>
    </row>
    <row r="84" spans="1:19" ht="15" customHeight="1" x14ac:dyDescent="0.25">
      <c r="A84" s="54" t="s">
        <v>300</v>
      </c>
      <c r="B84" s="53" t="s">
        <v>359</v>
      </c>
      <c r="C84" s="109">
        <v>0</v>
      </c>
      <c r="D84" s="109"/>
      <c r="E84" s="105"/>
      <c r="F84" s="104"/>
      <c r="G84" s="104"/>
      <c r="H84" s="104"/>
      <c r="I84" s="104"/>
      <c r="J84" s="104"/>
      <c r="K84" s="144">
        <v>0</v>
      </c>
      <c r="L84" s="104">
        <v>0</v>
      </c>
      <c r="M84" s="103">
        <f>86.63</f>
        <v>86.63</v>
      </c>
      <c r="N84" s="102">
        <f>SUM(K84:M84)</f>
        <v>86.63</v>
      </c>
      <c r="O84" s="104">
        <v>0</v>
      </c>
      <c r="P84" s="104">
        <v>0</v>
      </c>
      <c r="Q84" s="105">
        <v>0</v>
      </c>
      <c r="R84" s="104">
        <v>0</v>
      </c>
      <c r="S84" s="173">
        <f t="shared" si="26"/>
        <v>86.63</v>
      </c>
    </row>
    <row r="85" spans="1:19" ht="15" customHeight="1" x14ac:dyDescent="0.25">
      <c r="A85" s="54" t="s">
        <v>301</v>
      </c>
      <c r="B85" s="53" t="s">
        <v>298</v>
      </c>
      <c r="C85" s="109">
        <v>0</v>
      </c>
      <c r="D85" s="109">
        <f>7.01</f>
        <v>7.01</v>
      </c>
      <c r="E85" s="105">
        <v>0</v>
      </c>
      <c r="F85" s="104">
        <f>SUM(C85:E85)</f>
        <v>7.01</v>
      </c>
      <c r="G85" s="104">
        <v>0</v>
      </c>
      <c r="H85" s="104">
        <f t="shared" si="2"/>
        <v>7.01</v>
      </c>
      <c r="I85" s="104">
        <v>0</v>
      </c>
      <c r="J85" s="104">
        <f>-6.06</f>
        <v>-6.06</v>
      </c>
      <c r="K85" s="115">
        <f t="shared" si="16"/>
        <v>0.95000000000000018</v>
      </c>
      <c r="L85" s="104">
        <v>0</v>
      </c>
      <c r="M85" s="105">
        <v>0</v>
      </c>
      <c r="N85" s="104">
        <f t="shared" si="14"/>
        <v>0.95000000000000018</v>
      </c>
      <c r="O85" s="104">
        <v>0</v>
      </c>
      <c r="P85" s="104">
        <v>0</v>
      </c>
      <c r="Q85" s="105">
        <v>0</v>
      </c>
      <c r="R85" s="104">
        <v>0</v>
      </c>
      <c r="S85" s="173">
        <f t="shared" si="26"/>
        <v>0.95000000000000018</v>
      </c>
    </row>
    <row r="86" spans="1:19" ht="15" customHeight="1" x14ac:dyDescent="0.25">
      <c r="A86" s="54" t="s">
        <v>301</v>
      </c>
      <c r="B86" s="53" t="s">
        <v>359</v>
      </c>
      <c r="C86" s="109">
        <v>0</v>
      </c>
      <c r="D86" s="109"/>
      <c r="E86" s="105"/>
      <c r="F86" s="104"/>
      <c r="G86" s="104"/>
      <c r="H86" s="104"/>
      <c r="I86" s="104"/>
      <c r="J86" s="104"/>
      <c r="K86" s="144">
        <v>0</v>
      </c>
      <c r="L86" s="104">
        <v>0</v>
      </c>
      <c r="M86" s="103">
        <f>9.63</f>
        <v>9.6300000000000008</v>
      </c>
      <c r="N86" s="102">
        <f>SUM(K86:M86)</f>
        <v>9.6300000000000008</v>
      </c>
      <c r="O86" s="104">
        <v>0</v>
      </c>
      <c r="P86" s="104">
        <v>0</v>
      </c>
      <c r="Q86" s="105">
        <v>0</v>
      </c>
      <c r="R86" s="104">
        <v>0</v>
      </c>
      <c r="S86" s="173">
        <f t="shared" si="26"/>
        <v>9.6300000000000008</v>
      </c>
    </row>
    <row r="87" spans="1:19" ht="26.25" customHeight="1" x14ac:dyDescent="0.25">
      <c r="A87" s="17" t="s">
        <v>58</v>
      </c>
      <c r="B87" s="53" t="s">
        <v>36</v>
      </c>
      <c r="C87" s="109">
        <v>1725</v>
      </c>
      <c r="D87" s="109">
        <v>0</v>
      </c>
      <c r="E87" s="105">
        <v>50</v>
      </c>
      <c r="F87" s="104">
        <f t="shared" si="27"/>
        <v>1775</v>
      </c>
      <c r="G87" s="104">
        <v>0</v>
      </c>
      <c r="H87" s="104">
        <f t="shared" si="2"/>
        <v>1775</v>
      </c>
      <c r="I87" s="104">
        <v>0</v>
      </c>
      <c r="J87" s="104">
        <v>0</v>
      </c>
      <c r="K87" s="144">
        <f t="shared" si="16"/>
        <v>1775</v>
      </c>
      <c r="L87" s="104">
        <v>0</v>
      </c>
      <c r="M87" s="103">
        <v>0</v>
      </c>
      <c r="N87" s="102">
        <f t="shared" si="14"/>
        <v>1775</v>
      </c>
      <c r="O87" s="104">
        <v>0</v>
      </c>
      <c r="P87" s="104">
        <v>0</v>
      </c>
      <c r="Q87" s="105">
        <v>0</v>
      </c>
      <c r="R87" s="104">
        <v>0</v>
      </c>
      <c r="S87" s="173">
        <f t="shared" si="26"/>
        <v>1775</v>
      </c>
    </row>
    <row r="88" spans="1:19" ht="26.25" customHeight="1" x14ac:dyDescent="0.25">
      <c r="A88" s="17" t="s">
        <v>393</v>
      </c>
      <c r="B88" s="53" t="s">
        <v>359</v>
      </c>
      <c r="C88" s="109">
        <v>0</v>
      </c>
      <c r="D88" s="109"/>
      <c r="E88" s="105"/>
      <c r="F88" s="104"/>
      <c r="G88" s="104"/>
      <c r="H88" s="104"/>
      <c r="I88" s="104"/>
      <c r="J88" s="104"/>
      <c r="K88" s="144"/>
      <c r="L88" s="104"/>
      <c r="M88" s="103"/>
      <c r="N88" s="102">
        <v>0</v>
      </c>
      <c r="O88" s="104"/>
      <c r="P88" s="104">
        <f>11.56</f>
        <v>11.56</v>
      </c>
      <c r="Q88" s="105">
        <v>0</v>
      </c>
      <c r="R88" s="104">
        <v>0</v>
      </c>
      <c r="S88" s="173">
        <f t="shared" si="26"/>
        <v>11.56</v>
      </c>
    </row>
    <row r="89" spans="1:19" ht="24" customHeight="1" x14ac:dyDescent="0.25">
      <c r="A89" s="17" t="s">
        <v>394</v>
      </c>
      <c r="B89" s="53" t="s">
        <v>359</v>
      </c>
      <c r="C89" s="109">
        <v>0</v>
      </c>
      <c r="D89" s="109"/>
      <c r="E89" s="105"/>
      <c r="F89" s="104"/>
      <c r="G89" s="104"/>
      <c r="H89" s="104"/>
      <c r="I89" s="104"/>
      <c r="J89" s="104"/>
      <c r="K89" s="144"/>
      <c r="L89" s="104"/>
      <c r="M89" s="103"/>
      <c r="N89" s="102">
        <v>0</v>
      </c>
      <c r="O89" s="104"/>
      <c r="P89" s="104">
        <f>1.29</f>
        <v>1.29</v>
      </c>
      <c r="Q89" s="105">
        <v>0</v>
      </c>
      <c r="R89" s="104">
        <v>0</v>
      </c>
      <c r="S89" s="173">
        <f t="shared" si="26"/>
        <v>1.29</v>
      </c>
    </row>
    <row r="90" spans="1:19" ht="15" customHeight="1" x14ac:dyDescent="0.25">
      <c r="A90" s="17" t="s">
        <v>59</v>
      </c>
      <c r="B90" s="53" t="s">
        <v>36</v>
      </c>
      <c r="C90" s="109">
        <v>4652</v>
      </c>
      <c r="D90" s="109">
        <v>0</v>
      </c>
      <c r="E90" s="105">
        <v>401</v>
      </c>
      <c r="F90" s="104">
        <f t="shared" si="27"/>
        <v>5053</v>
      </c>
      <c r="G90" s="104">
        <v>0</v>
      </c>
      <c r="H90" s="104">
        <f t="shared" si="2"/>
        <v>5053</v>
      </c>
      <c r="I90" s="104">
        <v>0</v>
      </c>
      <c r="J90" s="104">
        <v>0</v>
      </c>
      <c r="K90" s="144">
        <f t="shared" si="16"/>
        <v>5053</v>
      </c>
      <c r="L90" s="104">
        <v>0</v>
      </c>
      <c r="M90" s="103">
        <v>0</v>
      </c>
      <c r="N90" s="102">
        <f t="shared" si="14"/>
        <v>5053</v>
      </c>
      <c r="O90" s="104">
        <v>0</v>
      </c>
      <c r="P90" s="104">
        <v>0</v>
      </c>
      <c r="Q90" s="105">
        <f>13</f>
        <v>13</v>
      </c>
      <c r="R90" s="104">
        <v>0</v>
      </c>
      <c r="S90" s="173">
        <f t="shared" si="26"/>
        <v>5066</v>
      </c>
    </row>
    <row r="91" spans="1:19" ht="15" customHeight="1" x14ac:dyDescent="0.25">
      <c r="A91" s="17" t="s">
        <v>306</v>
      </c>
      <c r="B91" s="53" t="s">
        <v>298</v>
      </c>
      <c r="C91" s="109">
        <v>0</v>
      </c>
      <c r="D91" s="109">
        <f>85.29</f>
        <v>85.29</v>
      </c>
      <c r="E91" s="105">
        <v>0</v>
      </c>
      <c r="F91" s="104">
        <f>SUM(C91:E91)</f>
        <v>85.29</v>
      </c>
      <c r="G91" s="104">
        <v>0</v>
      </c>
      <c r="H91" s="104">
        <f t="shared" ref="H91:H175" si="28">SUM(F91:G91)</f>
        <v>85.29</v>
      </c>
      <c r="I91" s="104">
        <v>0</v>
      </c>
      <c r="J91" s="104">
        <f>-55.49</f>
        <v>-55.49</v>
      </c>
      <c r="K91" s="144">
        <f t="shared" si="16"/>
        <v>29.800000000000004</v>
      </c>
      <c r="L91" s="104">
        <v>0</v>
      </c>
      <c r="M91" s="103">
        <v>0</v>
      </c>
      <c r="N91" s="102">
        <f t="shared" si="14"/>
        <v>29.800000000000004</v>
      </c>
      <c r="O91" s="104">
        <v>0</v>
      </c>
      <c r="P91" s="104">
        <v>0</v>
      </c>
      <c r="Q91" s="105">
        <v>0</v>
      </c>
      <c r="R91" s="104">
        <v>0</v>
      </c>
      <c r="S91" s="173">
        <f t="shared" si="26"/>
        <v>29.800000000000004</v>
      </c>
    </row>
    <row r="92" spans="1:19" ht="15" customHeight="1" x14ac:dyDescent="0.25">
      <c r="A92" s="17" t="s">
        <v>306</v>
      </c>
      <c r="B92" s="53" t="s">
        <v>382</v>
      </c>
      <c r="C92" s="109">
        <v>0</v>
      </c>
      <c r="D92" s="109"/>
      <c r="E92" s="105"/>
      <c r="F92" s="104"/>
      <c r="G92" s="104"/>
      <c r="H92" s="104"/>
      <c r="I92" s="104"/>
      <c r="J92" s="104"/>
      <c r="K92" s="144"/>
      <c r="L92" s="104"/>
      <c r="M92" s="103"/>
      <c r="N92" s="102">
        <v>0</v>
      </c>
      <c r="O92" s="104">
        <v>0</v>
      </c>
      <c r="P92" s="104">
        <f>172.98</f>
        <v>172.98</v>
      </c>
      <c r="Q92" s="105">
        <v>0</v>
      </c>
      <c r="R92" s="104">
        <v>0</v>
      </c>
      <c r="S92" s="173">
        <f t="shared" si="26"/>
        <v>172.98</v>
      </c>
    </row>
    <row r="93" spans="1:19" ht="15" customHeight="1" x14ac:dyDescent="0.25">
      <c r="A93" s="17" t="s">
        <v>307</v>
      </c>
      <c r="B93" s="53" t="s">
        <v>298</v>
      </c>
      <c r="C93" s="109">
        <v>0</v>
      </c>
      <c r="D93" s="109">
        <f>9.48</f>
        <v>9.48</v>
      </c>
      <c r="E93" s="105">
        <v>0</v>
      </c>
      <c r="F93" s="104">
        <f>SUM(C93:E93)</f>
        <v>9.48</v>
      </c>
      <c r="G93" s="104">
        <v>0</v>
      </c>
      <c r="H93" s="104">
        <f>SUM(F93:G93)</f>
        <v>9.48</v>
      </c>
      <c r="I93" s="104">
        <v>0</v>
      </c>
      <c r="J93" s="104">
        <f>-6.16</f>
        <v>-6.16</v>
      </c>
      <c r="K93" s="144">
        <f>SUM(H93:J93)</f>
        <v>3.3200000000000003</v>
      </c>
      <c r="L93" s="104">
        <v>0</v>
      </c>
      <c r="M93" s="103">
        <v>0</v>
      </c>
      <c r="N93" s="102">
        <f>SUM(K93:M93)</f>
        <v>3.3200000000000003</v>
      </c>
      <c r="O93" s="104">
        <v>0</v>
      </c>
      <c r="P93" s="104">
        <v>0</v>
      </c>
      <c r="Q93" s="105">
        <v>0</v>
      </c>
      <c r="R93" s="104">
        <v>0</v>
      </c>
      <c r="S93" s="173">
        <f t="shared" si="26"/>
        <v>3.3200000000000003</v>
      </c>
    </row>
    <row r="94" spans="1:19" ht="15" customHeight="1" x14ac:dyDescent="0.25">
      <c r="A94" s="17" t="s">
        <v>307</v>
      </c>
      <c r="B94" s="53" t="s">
        <v>382</v>
      </c>
      <c r="C94" s="109">
        <v>0</v>
      </c>
      <c r="D94" s="109"/>
      <c r="E94" s="105"/>
      <c r="F94" s="104"/>
      <c r="G94" s="104"/>
      <c r="H94" s="104"/>
      <c r="I94" s="104"/>
      <c r="J94" s="104"/>
      <c r="K94" s="144"/>
      <c r="L94" s="104"/>
      <c r="M94" s="103"/>
      <c r="N94" s="102">
        <v>0</v>
      </c>
      <c r="O94" s="104">
        <v>0</v>
      </c>
      <c r="P94" s="104">
        <f>19.22</f>
        <v>19.22</v>
      </c>
      <c r="Q94" s="105">
        <v>0</v>
      </c>
      <c r="R94" s="104">
        <v>0</v>
      </c>
      <c r="S94" s="173">
        <f t="shared" si="26"/>
        <v>19.22</v>
      </c>
    </row>
    <row r="95" spans="1:19" ht="15" customHeight="1" x14ac:dyDescent="0.25">
      <c r="A95" s="54" t="s">
        <v>60</v>
      </c>
      <c r="B95" s="53" t="s">
        <v>36</v>
      </c>
      <c r="C95" s="109">
        <v>4512</v>
      </c>
      <c r="D95" s="109">
        <v>0</v>
      </c>
      <c r="E95" s="105">
        <v>461</v>
      </c>
      <c r="F95" s="104">
        <f t="shared" si="27"/>
        <v>4973</v>
      </c>
      <c r="G95" s="104">
        <v>0</v>
      </c>
      <c r="H95" s="104">
        <f>SUM(F95:G95)</f>
        <v>4973</v>
      </c>
      <c r="I95" s="104">
        <v>0</v>
      </c>
      <c r="J95" s="104">
        <v>0</v>
      </c>
      <c r="K95" s="144">
        <f t="shared" si="16"/>
        <v>4973</v>
      </c>
      <c r="L95" s="104">
        <v>0</v>
      </c>
      <c r="M95" s="103">
        <v>0</v>
      </c>
      <c r="N95" s="102">
        <f t="shared" si="14"/>
        <v>4973</v>
      </c>
      <c r="O95" s="104">
        <v>0</v>
      </c>
      <c r="P95" s="104">
        <v>0</v>
      </c>
      <c r="Q95" s="105">
        <v>0</v>
      </c>
      <c r="R95" s="104">
        <v>0</v>
      </c>
      <c r="S95" s="173">
        <f t="shared" si="26"/>
        <v>4973</v>
      </c>
    </row>
    <row r="96" spans="1:19" ht="15" customHeight="1" x14ac:dyDescent="0.25">
      <c r="A96" s="54" t="s">
        <v>297</v>
      </c>
      <c r="B96" s="53" t="s">
        <v>298</v>
      </c>
      <c r="C96" s="109">
        <v>0</v>
      </c>
      <c r="D96" s="109">
        <f>83.43</f>
        <v>83.43</v>
      </c>
      <c r="E96" s="105">
        <v>0</v>
      </c>
      <c r="F96" s="104">
        <f>SUM(C96:E96)</f>
        <v>83.43</v>
      </c>
      <c r="G96" s="104">
        <v>0</v>
      </c>
      <c r="H96" s="104">
        <f t="shared" si="28"/>
        <v>83.43</v>
      </c>
      <c r="I96" s="104">
        <v>0</v>
      </c>
      <c r="J96" s="104">
        <f>-69.36</f>
        <v>-69.36</v>
      </c>
      <c r="K96" s="144">
        <f>SUM(H96:J96)</f>
        <v>14.070000000000007</v>
      </c>
      <c r="L96" s="104">
        <v>0</v>
      </c>
      <c r="M96" s="103">
        <f>-0.25</f>
        <v>-0.25</v>
      </c>
      <c r="N96" s="102">
        <f t="shared" si="14"/>
        <v>13.820000000000007</v>
      </c>
      <c r="O96" s="104">
        <v>0</v>
      </c>
      <c r="P96" s="104">
        <v>0</v>
      </c>
      <c r="Q96" s="105">
        <v>0</v>
      </c>
      <c r="R96" s="104">
        <v>0</v>
      </c>
      <c r="S96" s="173">
        <f t="shared" si="26"/>
        <v>13.820000000000007</v>
      </c>
    </row>
    <row r="97" spans="1:19" ht="15" customHeight="1" x14ac:dyDescent="0.25">
      <c r="A97" s="54" t="s">
        <v>297</v>
      </c>
      <c r="B97" s="53" t="s">
        <v>359</v>
      </c>
      <c r="C97" s="109">
        <v>0</v>
      </c>
      <c r="D97" s="109"/>
      <c r="E97" s="105"/>
      <c r="F97" s="104"/>
      <c r="G97" s="104"/>
      <c r="H97" s="104">
        <v>0</v>
      </c>
      <c r="I97" s="104">
        <v>0</v>
      </c>
      <c r="J97" s="104">
        <f>86.63</f>
        <v>86.63</v>
      </c>
      <c r="K97" s="144">
        <f>SUM(H97:J97)</f>
        <v>86.63</v>
      </c>
      <c r="L97" s="104">
        <v>0</v>
      </c>
      <c r="M97" s="103">
        <v>0</v>
      </c>
      <c r="N97" s="102">
        <f t="shared" si="14"/>
        <v>86.63</v>
      </c>
      <c r="O97" s="104">
        <v>0</v>
      </c>
      <c r="P97" s="104">
        <v>0</v>
      </c>
      <c r="Q97" s="105">
        <v>0</v>
      </c>
      <c r="R97" s="104">
        <v>0</v>
      </c>
      <c r="S97" s="173">
        <f t="shared" si="26"/>
        <v>86.63</v>
      </c>
    </row>
    <row r="98" spans="1:19" ht="15" customHeight="1" x14ac:dyDescent="0.25">
      <c r="A98" s="54" t="s">
        <v>299</v>
      </c>
      <c r="B98" s="53" t="s">
        <v>298</v>
      </c>
      <c r="C98" s="109">
        <v>0</v>
      </c>
      <c r="D98" s="109">
        <f>9.27</f>
        <v>9.27</v>
      </c>
      <c r="E98" s="105">
        <v>0</v>
      </c>
      <c r="F98" s="104">
        <f>SUM(C98:E98)</f>
        <v>9.27</v>
      </c>
      <c r="G98" s="104">
        <v>0</v>
      </c>
      <c r="H98" s="104">
        <f>SUM(F98:G98)</f>
        <v>9.27</v>
      </c>
      <c r="I98" s="104">
        <v>0</v>
      </c>
      <c r="J98" s="104">
        <f>-7.7</f>
        <v>-7.7</v>
      </c>
      <c r="K98" s="144">
        <f t="shared" si="16"/>
        <v>1.5699999999999994</v>
      </c>
      <c r="L98" s="104">
        <v>0</v>
      </c>
      <c r="M98" s="103">
        <f>-0.02</f>
        <v>-0.02</v>
      </c>
      <c r="N98" s="102">
        <f t="shared" si="14"/>
        <v>1.5499999999999994</v>
      </c>
      <c r="O98" s="104">
        <v>0</v>
      </c>
      <c r="P98" s="104">
        <v>0</v>
      </c>
      <c r="Q98" s="105">
        <v>0</v>
      </c>
      <c r="R98" s="104">
        <v>0</v>
      </c>
      <c r="S98" s="173">
        <f t="shared" si="26"/>
        <v>1.5499999999999994</v>
      </c>
    </row>
    <row r="99" spans="1:19" ht="15" customHeight="1" x14ac:dyDescent="0.25">
      <c r="A99" s="54" t="s">
        <v>299</v>
      </c>
      <c r="B99" s="53" t="s">
        <v>359</v>
      </c>
      <c r="C99" s="109">
        <v>0</v>
      </c>
      <c r="D99" s="109"/>
      <c r="E99" s="105"/>
      <c r="F99" s="104"/>
      <c r="G99" s="104"/>
      <c r="H99" s="104">
        <v>0</v>
      </c>
      <c r="I99" s="104">
        <v>0</v>
      </c>
      <c r="J99" s="104">
        <f>9.63</f>
        <v>9.6300000000000008</v>
      </c>
      <c r="K99" s="144">
        <f>SUM(H99:J99)</f>
        <v>9.6300000000000008</v>
      </c>
      <c r="L99" s="104">
        <v>0</v>
      </c>
      <c r="M99" s="103">
        <v>0</v>
      </c>
      <c r="N99" s="102">
        <f t="shared" si="14"/>
        <v>9.6300000000000008</v>
      </c>
      <c r="O99" s="104">
        <v>0</v>
      </c>
      <c r="P99" s="104">
        <v>0</v>
      </c>
      <c r="Q99" s="105">
        <v>0</v>
      </c>
      <c r="R99" s="104">
        <v>0</v>
      </c>
      <c r="S99" s="173">
        <f t="shared" si="26"/>
        <v>9.6300000000000008</v>
      </c>
    </row>
    <row r="100" spans="1:19" ht="15" customHeight="1" x14ac:dyDescent="0.25">
      <c r="A100" s="54" t="s">
        <v>61</v>
      </c>
      <c r="B100" s="53" t="s">
        <v>36</v>
      </c>
      <c r="C100" s="109">
        <v>382</v>
      </c>
      <c r="D100" s="109">
        <v>0</v>
      </c>
      <c r="E100" s="105">
        <v>50</v>
      </c>
      <c r="F100" s="104">
        <f t="shared" si="27"/>
        <v>432</v>
      </c>
      <c r="G100" s="104">
        <v>0</v>
      </c>
      <c r="H100" s="104">
        <f t="shared" si="28"/>
        <v>432</v>
      </c>
      <c r="I100" s="104">
        <v>0</v>
      </c>
      <c r="J100" s="104">
        <v>0</v>
      </c>
      <c r="K100" s="144">
        <f t="shared" si="16"/>
        <v>432</v>
      </c>
      <c r="L100" s="104">
        <f>204</f>
        <v>204</v>
      </c>
      <c r="M100" s="103">
        <v>0</v>
      </c>
      <c r="N100" s="102">
        <f t="shared" si="14"/>
        <v>636</v>
      </c>
      <c r="O100" s="104">
        <v>0</v>
      </c>
      <c r="P100" s="104">
        <v>0</v>
      </c>
      <c r="Q100" s="105">
        <v>0</v>
      </c>
      <c r="R100" s="104">
        <v>0</v>
      </c>
      <c r="S100" s="173">
        <f t="shared" si="26"/>
        <v>636</v>
      </c>
    </row>
    <row r="101" spans="1:19" ht="15" customHeight="1" x14ac:dyDescent="0.25">
      <c r="A101" s="54" t="s">
        <v>62</v>
      </c>
      <c r="B101" s="53" t="s">
        <v>36</v>
      </c>
      <c r="C101" s="109">
        <v>343</v>
      </c>
      <c r="D101" s="109">
        <v>0</v>
      </c>
      <c r="E101" s="105">
        <v>50</v>
      </c>
      <c r="F101" s="104">
        <f t="shared" si="27"/>
        <v>393</v>
      </c>
      <c r="G101" s="104">
        <v>0</v>
      </c>
      <c r="H101" s="104">
        <f t="shared" si="28"/>
        <v>393</v>
      </c>
      <c r="I101" s="104">
        <v>0</v>
      </c>
      <c r="J101" s="104">
        <v>0</v>
      </c>
      <c r="K101" s="115">
        <f t="shared" si="16"/>
        <v>393</v>
      </c>
      <c r="L101" s="104">
        <v>0</v>
      </c>
      <c r="M101" s="103">
        <v>0</v>
      </c>
      <c r="N101" s="102">
        <f t="shared" si="14"/>
        <v>393</v>
      </c>
      <c r="O101" s="104">
        <v>0</v>
      </c>
      <c r="P101" s="104">
        <v>0</v>
      </c>
      <c r="Q101" s="105">
        <v>0</v>
      </c>
      <c r="R101" s="104">
        <v>0</v>
      </c>
      <c r="S101" s="173">
        <f t="shared" si="26"/>
        <v>393</v>
      </c>
    </row>
    <row r="102" spans="1:19" ht="15" customHeight="1" x14ac:dyDescent="0.25">
      <c r="A102" s="54" t="s">
        <v>63</v>
      </c>
      <c r="B102" s="53" t="s">
        <v>36</v>
      </c>
      <c r="C102" s="109">
        <v>4076</v>
      </c>
      <c r="D102" s="109">
        <v>0</v>
      </c>
      <c r="E102" s="105">
        <v>517</v>
      </c>
      <c r="F102" s="104">
        <f t="shared" si="27"/>
        <v>4593</v>
      </c>
      <c r="G102" s="104">
        <v>0</v>
      </c>
      <c r="H102" s="104">
        <f t="shared" si="28"/>
        <v>4593</v>
      </c>
      <c r="I102" s="104">
        <v>-200</v>
      </c>
      <c r="J102" s="104">
        <v>0</v>
      </c>
      <c r="K102" s="144">
        <f t="shared" si="16"/>
        <v>4393</v>
      </c>
      <c r="L102" s="104">
        <v>0</v>
      </c>
      <c r="M102" s="103">
        <v>0</v>
      </c>
      <c r="N102" s="102">
        <f t="shared" si="14"/>
        <v>4393</v>
      </c>
      <c r="O102" s="104">
        <v>0</v>
      </c>
      <c r="P102" s="104">
        <v>0</v>
      </c>
      <c r="Q102" s="105">
        <v>0</v>
      </c>
      <c r="R102" s="104">
        <v>0</v>
      </c>
      <c r="S102" s="173">
        <f t="shared" si="26"/>
        <v>4393</v>
      </c>
    </row>
    <row r="103" spans="1:19" ht="15" customHeight="1" x14ac:dyDescent="0.25">
      <c r="A103" s="54" t="s">
        <v>302</v>
      </c>
      <c r="B103" s="53" t="s">
        <v>298</v>
      </c>
      <c r="C103" s="109">
        <v>0</v>
      </c>
      <c r="D103" s="109">
        <f>83.43</f>
        <v>83.43</v>
      </c>
      <c r="E103" s="105">
        <v>0</v>
      </c>
      <c r="F103" s="104">
        <f>SUM(C103:E103)</f>
        <v>83.43</v>
      </c>
      <c r="G103" s="104">
        <v>0</v>
      </c>
      <c r="H103" s="104">
        <f t="shared" si="28"/>
        <v>83.43</v>
      </c>
      <c r="I103" s="104">
        <v>0</v>
      </c>
      <c r="J103" s="104">
        <f>-59.21</f>
        <v>-59.21</v>
      </c>
      <c r="K103" s="144">
        <f t="shared" si="16"/>
        <v>24.220000000000006</v>
      </c>
      <c r="L103" s="104">
        <v>0</v>
      </c>
      <c r="M103" s="103">
        <v>0</v>
      </c>
      <c r="N103" s="102">
        <f t="shared" si="14"/>
        <v>24.220000000000006</v>
      </c>
      <c r="O103" s="104">
        <v>0</v>
      </c>
      <c r="P103" s="104">
        <v>0</v>
      </c>
      <c r="Q103" s="105">
        <v>0</v>
      </c>
      <c r="R103" s="104">
        <v>0</v>
      </c>
      <c r="S103" s="173">
        <f t="shared" ref="S103:S136" si="29">SUM(N103:R103)</f>
        <v>24.220000000000006</v>
      </c>
    </row>
    <row r="104" spans="1:19" ht="15" customHeight="1" x14ac:dyDescent="0.25">
      <c r="A104" s="54" t="s">
        <v>302</v>
      </c>
      <c r="B104" s="53" t="s">
        <v>359</v>
      </c>
      <c r="C104" s="109">
        <v>0</v>
      </c>
      <c r="D104" s="109"/>
      <c r="E104" s="105"/>
      <c r="F104" s="104"/>
      <c r="G104" s="104"/>
      <c r="H104" s="104"/>
      <c r="I104" s="104"/>
      <c r="J104" s="104"/>
      <c r="K104" s="144"/>
      <c r="L104" s="104"/>
      <c r="M104" s="103"/>
      <c r="N104" s="102">
        <v>0</v>
      </c>
      <c r="O104" s="104">
        <v>0</v>
      </c>
      <c r="P104" s="104">
        <f>144.39</f>
        <v>144.38999999999999</v>
      </c>
      <c r="Q104" s="105">
        <v>0</v>
      </c>
      <c r="R104" s="104">
        <v>0</v>
      </c>
      <c r="S104" s="173">
        <f t="shared" si="29"/>
        <v>144.38999999999999</v>
      </c>
    </row>
    <row r="105" spans="1:19" ht="15" customHeight="1" x14ac:dyDescent="0.25">
      <c r="A105" s="54" t="s">
        <v>303</v>
      </c>
      <c r="B105" s="53" t="s">
        <v>298</v>
      </c>
      <c r="C105" s="109">
        <v>0</v>
      </c>
      <c r="D105" s="109">
        <f>9.27</f>
        <v>9.27</v>
      </c>
      <c r="E105" s="105">
        <v>0</v>
      </c>
      <c r="F105" s="104">
        <f>SUM(C105:E105)</f>
        <v>9.27</v>
      </c>
      <c r="G105" s="104">
        <v>0</v>
      </c>
      <c r="H105" s="104">
        <f t="shared" si="28"/>
        <v>9.27</v>
      </c>
      <c r="I105" s="104">
        <v>0</v>
      </c>
      <c r="J105" s="104">
        <f>-6.57</f>
        <v>-6.57</v>
      </c>
      <c r="K105" s="144">
        <f t="shared" si="16"/>
        <v>2.6999999999999993</v>
      </c>
      <c r="L105" s="104">
        <v>0</v>
      </c>
      <c r="M105" s="103">
        <v>0</v>
      </c>
      <c r="N105" s="102">
        <f t="shared" si="14"/>
        <v>2.6999999999999993</v>
      </c>
      <c r="O105" s="104">
        <v>0</v>
      </c>
      <c r="P105" s="104">
        <v>0</v>
      </c>
      <c r="Q105" s="105">
        <v>0</v>
      </c>
      <c r="R105" s="104">
        <v>0</v>
      </c>
      <c r="S105" s="173">
        <f t="shared" si="29"/>
        <v>2.6999999999999993</v>
      </c>
    </row>
    <row r="106" spans="1:19" ht="15" customHeight="1" x14ac:dyDescent="0.25">
      <c r="A106" s="54" t="s">
        <v>303</v>
      </c>
      <c r="B106" s="53" t="s">
        <v>359</v>
      </c>
      <c r="C106" s="109">
        <v>0</v>
      </c>
      <c r="D106" s="109"/>
      <c r="E106" s="105"/>
      <c r="F106" s="104"/>
      <c r="G106" s="104"/>
      <c r="H106" s="104"/>
      <c r="I106" s="104"/>
      <c r="J106" s="104"/>
      <c r="K106" s="144"/>
      <c r="L106" s="104"/>
      <c r="M106" s="103"/>
      <c r="N106" s="102">
        <v>0</v>
      </c>
      <c r="O106" s="104">
        <v>0</v>
      </c>
      <c r="P106" s="104">
        <f>16.05</f>
        <v>16.05</v>
      </c>
      <c r="Q106" s="105">
        <v>0</v>
      </c>
      <c r="R106" s="104">
        <v>0</v>
      </c>
      <c r="S106" s="173">
        <f t="shared" si="29"/>
        <v>16.05</v>
      </c>
    </row>
    <row r="107" spans="1:19" ht="15" customHeight="1" x14ac:dyDescent="0.25">
      <c r="A107" s="54" t="s">
        <v>64</v>
      </c>
      <c r="B107" s="53" t="s">
        <v>36</v>
      </c>
      <c r="C107" s="109">
        <v>385</v>
      </c>
      <c r="D107" s="109">
        <v>0</v>
      </c>
      <c r="E107" s="105">
        <v>50</v>
      </c>
      <c r="F107" s="104">
        <f t="shared" si="27"/>
        <v>435</v>
      </c>
      <c r="G107" s="104">
        <v>0</v>
      </c>
      <c r="H107" s="104">
        <f t="shared" si="28"/>
        <v>435</v>
      </c>
      <c r="I107" s="104">
        <v>0</v>
      </c>
      <c r="J107" s="104">
        <v>0</v>
      </c>
      <c r="K107" s="144">
        <f t="shared" si="16"/>
        <v>435</v>
      </c>
      <c r="L107" s="104">
        <v>0</v>
      </c>
      <c r="M107" s="103">
        <v>0</v>
      </c>
      <c r="N107" s="102">
        <f t="shared" si="14"/>
        <v>435</v>
      </c>
      <c r="O107" s="104">
        <v>0</v>
      </c>
      <c r="P107" s="104">
        <v>0</v>
      </c>
      <c r="Q107" s="105">
        <v>0</v>
      </c>
      <c r="R107" s="104">
        <v>0</v>
      </c>
      <c r="S107" s="173">
        <f t="shared" si="29"/>
        <v>435</v>
      </c>
    </row>
    <row r="108" spans="1:19" ht="15" customHeight="1" x14ac:dyDescent="0.25">
      <c r="A108" s="54" t="s">
        <v>65</v>
      </c>
      <c r="B108" s="53" t="s">
        <v>36</v>
      </c>
      <c r="C108" s="109">
        <v>3531</v>
      </c>
      <c r="D108" s="109">
        <v>0</v>
      </c>
      <c r="E108" s="105">
        <v>262</v>
      </c>
      <c r="F108" s="104">
        <f t="shared" si="27"/>
        <v>3793</v>
      </c>
      <c r="G108" s="104">
        <v>0</v>
      </c>
      <c r="H108" s="104">
        <f t="shared" si="28"/>
        <v>3793</v>
      </c>
      <c r="I108" s="104">
        <v>0</v>
      </c>
      <c r="J108" s="104">
        <v>0</v>
      </c>
      <c r="K108" s="144">
        <f t="shared" si="16"/>
        <v>3793</v>
      </c>
      <c r="L108" s="104">
        <f>140</f>
        <v>140</v>
      </c>
      <c r="M108" s="103">
        <v>0</v>
      </c>
      <c r="N108" s="102">
        <f t="shared" si="14"/>
        <v>3933</v>
      </c>
      <c r="O108" s="104">
        <v>0</v>
      </c>
      <c r="P108" s="104">
        <v>0</v>
      </c>
      <c r="Q108" s="105">
        <v>0</v>
      </c>
      <c r="R108" s="104">
        <v>0</v>
      </c>
      <c r="S108" s="173">
        <f t="shared" si="29"/>
        <v>3933</v>
      </c>
    </row>
    <row r="109" spans="1:19" ht="15" customHeight="1" x14ac:dyDescent="0.25">
      <c r="A109" s="54" t="s">
        <v>308</v>
      </c>
      <c r="B109" s="53" t="s">
        <v>298</v>
      </c>
      <c r="C109" s="109">
        <v>0</v>
      </c>
      <c r="D109" s="109">
        <f>87.61</f>
        <v>87.61</v>
      </c>
      <c r="E109" s="105">
        <v>0</v>
      </c>
      <c r="F109" s="104">
        <f>SUM(C109:E109)</f>
        <v>87.61</v>
      </c>
      <c r="G109" s="104">
        <v>0</v>
      </c>
      <c r="H109" s="104">
        <f t="shared" si="28"/>
        <v>87.61</v>
      </c>
      <c r="I109" s="104">
        <v>0</v>
      </c>
      <c r="J109" s="104">
        <f>-30.64</f>
        <v>-30.64</v>
      </c>
      <c r="K109" s="144">
        <f t="shared" si="16"/>
        <v>56.97</v>
      </c>
      <c r="L109" s="104">
        <v>0</v>
      </c>
      <c r="M109" s="103">
        <v>0</v>
      </c>
      <c r="N109" s="102">
        <f t="shared" si="14"/>
        <v>56.97</v>
      </c>
      <c r="O109" s="104">
        <v>0</v>
      </c>
      <c r="P109" s="104">
        <v>0</v>
      </c>
      <c r="Q109" s="105">
        <v>0</v>
      </c>
      <c r="R109" s="104">
        <v>0</v>
      </c>
      <c r="S109" s="173">
        <f t="shared" si="29"/>
        <v>56.97</v>
      </c>
    </row>
    <row r="110" spans="1:19" ht="15" customHeight="1" x14ac:dyDescent="0.25">
      <c r="A110" s="54" t="s">
        <v>308</v>
      </c>
      <c r="B110" s="53" t="s">
        <v>359</v>
      </c>
      <c r="C110" s="109">
        <v>0</v>
      </c>
      <c r="D110" s="109"/>
      <c r="E110" s="105"/>
      <c r="F110" s="104"/>
      <c r="G110" s="104"/>
      <c r="H110" s="104">
        <v>0</v>
      </c>
      <c r="I110" s="104">
        <v>0</v>
      </c>
      <c r="J110" s="104">
        <f>202.14</f>
        <v>202.14</v>
      </c>
      <c r="K110" s="144">
        <f>SUM(H110:J110)</f>
        <v>202.14</v>
      </c>
      <c r="L110" s="104">
        <v>0</v>
      </c>
      <c r="M110" s="103">
        <v>0</v>
      </c>
      <c r="N110" s="102">
        <f t="shared" si="14"/>
        <v>202.14</v>
      </c>
      <c r="O110" s="104">
        <v>0</v>
      </c>
      <c r="P110" s="104">
        <v>0</v>
      </c>
      <c r="Q110" s="105">
        <v>0</v>
      </c>
      <c r="R110" s="104">
        <v>0</v>
      </c>
      <c r="S110" s="173">
        <f t="shared" si="29"/>
        <v>202.14</v>
      </c>
    </row>
    <row r="111" spans="1:19" ht="15" customHeight="1" x14ac:dyDescent="0.25">
      <c r="A111" s="54" t="s">
        <v>309</v>
      </c>
      <c r="B111" s="53" t="s">
        <v>298</v>
      </c>
      <c r="C111" s="109">
        <v>0</v>
      </c>
      <c r="D111" s="109">
        <f>9.74</f>
        <v>9.74</v>
      </c>
      <c r="E111" s="105">
        <v>0</v>
      </c>
      <c r="F111" s="104">
        <f>SUM(C111:E111)</f>
        <v>9.74</v>
      </c>
      <c r="G111" s="104">
        <v>0</v>
      </c>
      <c r="H111" s="104">
        <f t="shared" si="28"/>
        <v>9.74</v>
      </c>
      <c r="I111" s="104">
        <v>0</v>
      </c>
      <c r="J111" s="104">
        <f>-3.4</f>
        <v>-3.4</v>
      </c>
      <c r="K111" s="144">
        <f t="shared" si="16"/>
        <v>6.34</v>
      </c>
      <c r="L111" s="104">
        <v>0</v>
      </c>
      <c r="M111" s="103">
        <v>0</v>
      </c>
      <c r="N111" s="102">
        <f t="shared" si="14"/>
        <v>6.34</v>
      </c>
      <c r="O111" s="104">
        <v>0</v>
      </c>
      <c r="P111" s="104">
        <v>0</v>
      </c>
      <c r="Q111" s="105">
        <v>0</v>
      </c>
      <c r="R111" s="104">
        <v>0</v>
      </c>
      <c r="S111" s="173">
        <f t="shared" si="29"/>
        <v>6.34</v>
      </c>
    </row>
    <row r="112" spans="1:19" ht="15" customHeight="1" x14ac:dyDescent="0.25">
      <c r="A112" s="54" t="s">
        <v>309</v>
      </c>
      <c r="B112" s="53" t="s">
        <v>359</v>
      </c>
      <c r="C112" s="109">
        <v>0</v>
      </c>
      <c r="D112" s="109"/>
      <c r="E112" s="105"/>
      <c r="F112" s="104"/>
      <c r="G112" s="104"/>
      <c r="H112" s="104">
        <v>0</v>
      </c>
      <c r="I112" s="104">
        <v>0</v>
      </c>
      <c r="J112" s="104">
        <f>22.46</f>
        <v>22.46</v>
      </c>
      <c r="K112" s="144">
        <f>SUM(H112:J112)</f>
        <v>22.46</v>
      </c>
      <c r="L112" s="104">
        <v>0</v>
      </c>
      <c r="M112" s="103">
        <v>0</v>
      </c>
      <c r="N112" s="102">
        <f t="shared" si="14"/>
        <v>22.46</v>
      </c>
      <c r="O112" s="104">
        <v>0</v>
      </c>
      <c r="P112" s="104">
        <v>0</v>
      </c>
      <c r="Q112" s="105">
        <v>0</v>
      </c>
      <c r="R112" s="104">
        <v>0</v>
      </c>
      <c r="S112" s="173">
        <f t="shared" si="29"/>
        <v>22.46</v>
      </c>
    </row>
    <row r="113" spans="1:19" ht="39" customHeight="1" x14ac:dyDescent="0.25">
      <c r="A113" s="17" t="s">
        <v>288</v>
      </c>
      <c r="B113" s="53" t="s">
        <v>271</v>
      </c>
      <c r="C113" s="109">
        <v>0</v>
      </c>
      <c r="D113" s="109">
        <v>0</v>
      </c>
      <c r="E113" s="105">
        <v>16.66</v>
      </c>
      <c r="F113" s="104">
        <f t="shared" si="27"/>
        <v>16.66</v>
      </c>
      <c r="G113" s="104">
        <v>0</v>
      </c>
      <c r="H113" s="104">
        <f t="shared" si="28"/>
        <v>16.66</v>
      </c>
      <c r="I113" s="104">
        <v>0</v>
      </c>
      <c r="J113" s="104">
        <v>0</v>
      </c>
      <c r="K113" s="144">
        <f t="shared" si="16"/>
        <v>16.66</v>
      </c>
      <c r="L113" s="104">
        <v>0</v>
      </c>
      <c r="M113" s="103">
        <v>0</v>
      </c>
      <c r="N113" s="102">
        <f t="shared" si="14"/>
        <v>16.66</v>
      </c>
      <c r="O113" s="104">
        <v>0</v>
      </c>
      <c r="P113" s="104">
        <v>0</v>
      </c>
      <c r="Q113" s="105">
        <v>0</v>
      </c>
      <c r="R113" s="104">
        <v>0</v>
      </c>
      <c r="S113" s="173">
        <f t="shared" si="29"/>
        <v>16.66</v>
      </c>
    </row>
    <row r="114" spans="1:19" ht="15" customHeight="1" x14ac:dyDescent="0.25">
      <c r="A114" s="54" t="s">
        <v>66</v>
      </c>
      <c r="B114" s="53" t="s">
        <v>36</v>
      </c>
      <c r="C114" s="109">
        <v>4894</v>
      </c>
      <c r="D114" s="109">
        <v>0</v>
      </c>
      <c r="E114" s="105">
        <v>550</v>
      </c>
      <c r="F114" s="104">
        <f t="shared" si="27"/>
        <v>5444</v>
      </c>
      <c r="G114" s="104">
        <v>0</v>
      </c>
      <c r="H114" s="104">
        <f t="shared" si="28"/>
        <v>5444</v>
      </c>
      <c r="I114" s="104">
        <v>0</v>
      </c>
      <c r="J114" s="104">
        <v>0</v>
      </c>
      <c r="K114" s="144">
        <f t="shared" si="16"/>
        <v>5444</v>
      </c>
      <c r="L114" s="104">
        <v>0</v>
      </c>
      <c r="M114" s="103">
        <v>0</v>
      </c>
      <c r="N114" s="102">
        <f t="shared" si="14"/>
        <v>5444</v>
      </c>
      <c r="O114" s="104">
        <v>0</v>
      </c>
      <c r="P114" s="104">
        <v>0</v>
      </c>
      <c r="Q114" s="105">
        <v>0</v>
      </c>
      <c r="R114" s="104">
        <v>0</v>
      </c>
      <c r="S114" s="173">
        <f t="shared" si="29"/>
        <v>5444</v>
      </c>
    </row>
    <row r="115" spans="1:19" ht="43.5" customHeight="1" x14ac:dyDescent="0.25">
      <c r="A115" s="17" t="s">
        <v>289</v>
      </c>
      <c r="B115" s="53" t="s">
        <v>271</v>
      </c>
      <c r="C115" s="109">
        <v>0</v>
      </c>
      <c r="D115" s="109">
        <v>0</v>
      </c>
      <c r="E115" s="105">
        <v>36.58</v>
      </c>
      <c r="F115" s="104">
        <f>SUM(C115:E115)</f>
        <v>36.58</v>
      </c>
      <c r="G115" s="104">
        <v>0</v>
      </c>
      <c r="H115" s="104">
        <f t="shared" si="28"/>
        <v>36.58</v>
      </c>
      <c r="I115" s="104">
        <v>0</v>
      </c>
      <c r="J115" s="104">
        <v>0</v>
      </c>
      <c r="K115" s="144">
        <f t="shared" si="16"/>
        <v>36.58</v>
      </c>
      <c r="L115" s="104">
        <v>0</v>
      </c>
      <c r="M115" s="103">
        <v>0</v>
      </c>
      <c r="N115" s="102">
        <f t="shared" si="14"/>
        <v>36.58</v>
      </c>
      <c r="O115" s="104">
        <v>0</v>
      </c>
      <c r="P115" s="104">
        <v>0</v>
      </c>
      <c r="Q115" s="105">
        <v>0</v>
      </c>
      <c r="R115" s="104">
        <v>0</v>
      </c>
      <c r="S115" s="173">
        <f t="shared" si="29"/>
        <v>36.58</v>
      </c>
    </row>
    <row r="116" spans="1:19" ht="27" customHeight="1" x14ac:dyDescent="0.25">
      <c r="A116" s="17" t="s">
        <v>67</v>
      </c>
      <c r="B116" s="53" t="s">
        <v>36</v>
      </c>
      <c r="C116" s="109">
        <v>9231</v>
      </c>
      <c r="D116" s="109">
        <v>0</v>
      </c>
      <c r="E116" s="105">
        <v>1173</v>
      </c>
      <c r="F116" s="104">
        <f t="shared" si="27"/>
        <v>10404</v>
      </c>
      <c r="G116" s="104">
        <v>0</v>
      </c>
      <c r="H116" s="104">
        <f t="shared" si="28"/>
        <v>10404</v>
      </c>
      <c r="I116" s="104">
        <v>0</v>
      </c>
      <c r="J116" s="104">
        <v>0</v>
      </c>
      <c r="K116" s="144">
        <f t="shared" si="16"/>
        <v>10404</v>
      </c>
      <c r="L116" s="104">
        <f>32</f>
        <v>32</v>
      </c>
      <c r="M116" s="103">
        <v>0</v>
      </c>
      <c r="N116" s="102">
        <f t="shared" ref="N116:N188" si="30">SUM(K116:M116)</f>
        <v>10436</v>
      </c>
      <c r="O116" s="104">
        <v>0</v>
      </c>
      <c r="P116" s="104">
        <v>0</v>
      </c>
      <c r="Q116" s="105">
        <v>0</v>
      </c>
      <c r="R116" s="104">
        <v>0</v>
      </c>
      <c r="S116" s="173">
        <f t="shared" si="29"/>
        <v>10436</v>
      </c>
    </row>
    <row r="117" spans="1:19" ht="15" customHeight="1" x14ac:dyDescent="0.25">
      <c r="A117" s="17" t="s">
        <v>68</v>
      </c>
      <c r="B117" s="53" t="s">
        <v>36</v>
      </c>
      <c r="C117" s="109">
        <v>7728</v>
      </c>
      <c r="D117" s="109">
        <v>0</v>
      </c>
      <c r="E117" s="105">
        <v>220</v>
      </c>
      <c r="F117" s="104">
        <f t="shared" si="27"/>
        <v>7948</v>
      </c>
      <c r="G117" s="104">
        <v>0</v>
      </c>
      <c r="H117" s="104">
        <f t="shared" si="28"/>
        <v>7948</v>
      </c>
      <c r="I117" s="104">
        <v>0</v>
      </c>
      <c r="J117" s="104">
        <v>0</v>
      </c>
      <c r="K117" s="144">
        <f t="shared" si="16"/>
        <v>7948</v>
      </c>
      <c r="L117" s="104">
        <f>52.69</f>
        <v>52.69</v>
      </c>
      <c r="M117" s="103">
        <v>0</v>
      </c>
      <c r="N117" s="102">
        <f t="shared" si="30"/>
        <v>8000.69</v>
      </c>
      <c r="O117" s="104">
        <v>0</v>
      </c>
      <c r="P117" s="104">
        <v>0</v>
      </c>
      <c r="Q117" s="105">
        <v>0</v>
      </c>
      <c r="R117" s="104">
        <v>0</v>
      </c>
      <c r="S117" s="173">
        <f t="shared" si="29"/>
        <v>8000.69</v>
      </c>
    </row>
    <row r="118" spans="1:19" ht="15" customHeight="1" x14ac:dyDescent="0.25">
      <c r="A118" s="17" t="s">
        <v>383</v>
      </c>
      <c r="B118" s="53" t="s">
        <v>384</v>
      </c>
      <c r="C118" s="109">
        <v>0</v>
      </c>
      <c r="D118" s="109"/>
      <c r="E118" s="105"/>
      <c r="F118" s="104"/>
      <c r="G118" s="104"/>
      <c r="H118" s="104"/>
      <c r="I118" s="104"/>
      <c r="J118" s="104"/>
      <c r="K118" s="144"/>
      <c r="L118" s="104"/>
      <c r="M118" s="103"/>
      <c r="N118" s="102">
        <v>0</v>
      </c>
      <c r="O118" s="104">
        <v>0</v>
      </c>
      <c r="P118" s="104">
        <f>76</f>
        <v>76</v>
      </c>
      <c r="Q118" s="105">
        <v>0</v>
      </c>
      <c r="R118" s="104">
        <v>0</v>
      </c>
      <c r="S118" s="173">
        <f t="shared" si="29"/>
        <v>76</v>
      </c>
    </row>
    <row r="119" spans="1:19" x14ac:dyDescent="0.25">
      <c r="A119" s="54" t="s">
        <v>69</v>
      </c>
      <c r="B119" s="53" t="s">
        <v>36</v>
      </c>
      <c r="C119" s="109">
        <v>2224</v>
      </c>
      <c r="D119" s="109">
        <v>0</v>
      </c>
      <c r="E119" s="105">
        <v>100</v>
      </c>
      <c r="F119" s="104">
        <f t="shared" si="27"/>
        <v>2324</v>
      </c>
      <c r="G119" s="104">
        <v>0</v>
      </c>
      <c r="H119" s="104">
        <f t="shared" si="28"/>
        <v>2324</v>
      </c>
      <c r="I119" s="104">
        <v>0</v>
      </c>
      <c r="J119" s="104">
        <v>0</v>
      </c>
      <c r="K119" s="144">
        <f t="shared" si="16"/>
        <v>2324</v>
      </c>
      <c r="L119" s="104">
        <v>0</v>
      </c>
      <c r="M119" s="103">
        <v>0</v>
      </c>
      <c r="N119" s="102">
        <f t="shared" si="30"/>
        <v>2324</v>
      </c>
      <c r="O119" s="104">
        <v>0</v>
      </c>
      <c r="P119" s="104">
        <v>0</v>
      </c>
      <c r="Q119" s="105">
        <v>0</v>
      </c>
      <c r="R119" s="104">
        <v>0</v>
      </c>
      <c r="S119" s="173">
        <f t="shared" si="29"/>
        <v>2324</v>
      </c>
    </row>
    <row r="120" spans="1:19" x14ac:dyDescent="0.25">
      <c r="A120" s="54" t="s">
        <v>395</v>
      </c>
      <c r="B120" s="53" t="s">
        <v>359</v>
      </c>
      <c r="C120" s="109">
        <v>0</v>
      </c>
      <c r="D120" s="109"/>
      <c r="E120" s="105"/>
      <c r="F120" s="104"/>
      <c r="G120" s="104"/>
      <c r="H120" s="104"/>
      <c r="I120" s="104"/>
      <c r="J120" s="104"/>
      <c r="K120" s="144"/>
      <c r="L120" s="104"/>
      <c r="M120" s="103"/>
      <c r="N120" s="102">
        <v>0</v>
      </c>
      <c r="O120" s="104"/>
      <c r="P120" s="104">
        <f>15.65</f>
        <v>15.65</v>
      </c>
      <c r="Q120" s="105">
        <v>0</v>
      </c>
      <c r="R120" s="104">
        <v>0</v>
      </c>
      <c r="S120" s="173">
        <f t="shared" si="29"/>
        <v>15.65</v>
      </c>
    </row>
    <row r="121" spans="1:19" x14ac:dyDescent="0.25">
      <c r="A121" s="54" t="s">
        <v>396</v>
      </c>
      <c r="B121" s="53" t="s">
        <v>359</v>
      </c>
      <c r="C121" s="109">
        <v>0</v>
      </c>
      <c r="D121" s="109"/>
      <c r="E121" s="105"/>
      <c r="F121" s="104"/>
      <c r="G121" s="104"/>
      <c r="H121" s="104"/>
      <c r="I121" s="104"/>
      <c r="J121" s="104"/>
      <c r="K121" s="144"/>
      <c r="L121" s="104"/>
      <c r="M121" s="103"/>
      <c r="N121" s="102">
        <v>0</v>
      </c>
      <c r="O121" s="104"/>
      <c r="P121" s="104">
        <f>1.74</f>
        <v>1.74</v>
      </c>
      <c r="Q121" s="105">
        <v>0</v>
      </c>
      <c r="R121" s="104">
        <v>0</v>
      </c>
      <c r="S121" s="173">
        <f t="shared" si="29"/>
        <v>1.74</v>
      </c>
    </row>
    <row r="122" spans="1:19" x14ac:dyDescent="0.25">
      <c r="A122" s="54" t="s">
        <v>70</v>
      </c>
      <c r="B122" s="53" t="s">
        <v>36</v>
      </c>
      <c r="C122" s="109">
        <v>5122</v>
      </c>
      <c r="D122" s="109">
        <v>0</v>
      </c>
      <c r="E122" s="105">
        <v>417</v>
      </c>
      <c r="F122" s="104">
        <f t="shared" si="27"/>
        <v>5539</v>
      </c>
      <c r="G122" s="104">
        <v>0</v>
      </c>
      <c r="H122" s="104">
        <f t="shared" si="28"/>
        <v>5539</v>
      </c>
      <c r="I122" s="104">
        <v>0</v>
      </c>
      <c r="J122" s="104">
        <v>0</v>
      </c>
      <c r="K122" s="144">
        <f t="shared" si="16"/>
        <v>5539</v>
      </c>
      <c r="L122" s="104">
        <f>107</f>
        <v>107</v>
      </c>
      <c r="M122" s="103">
        <v>0</v>
      </c>
      <c r="N122" s="102">
        <f t="shared" si="30"/>
        <v>5646</v>
      </c>
      <c r="O122" s="104">
        <v>0</v>
      </c>
      <c r="P122" s="104">
        <v>0</v>
      </c>
      <c r="Q122" s="105">
        <v>0</v>
      </c>
      <c r="R122" s="104">
        <v>0</v>
      </c>
      <c r="S122" s="173">
        <f t="shared" si="29"/>
        <v>5646</v>
      </c>
    </row>
    <row r="123" spans="1:19" ht="15.75" customHeight="1" x14ac:dyDescent="0.25">
      <c r="A123" s="17" t="s">
        <v>71</v>
      </c>
      <c r="B123" s="53" t="s">
        <v>36</v>
      </c>
      <c r="C123" s="109">
        <v>14283</v>
      </c>
      <c r="D123" s="109">
        <v>0</v>
      </c>
      <c r="E123" s="105">
        <v>214</v>
      </c>
      <c r="F123" s="104">
        <f t="shared" si="27"/>
        <v>14497</v>
      </c>
      <c r="G123" s="104">
        <v>0</v>
      </c>
      <c r="H123" s="104">
        <f t="shared" si="28"/>
        <v>14497</v>
      </c>
      <c r="I123" s="104">
        <v>0</v>
      </c>
      <c r="J123" s="104">
        <v>0</v>
      </c>
      <c r="K123" s="144">
        <f t="shared" si="16"/>
        <v>14497</v>
      </c>
      <c r="L123" s="104">
        <f>29</f>
        <v>29</v>
      </c>
      <c r="M123" s="103">
        <v>0</v>
      </c>
      <c r="N123" s="102">
        <f t="shared" si="30"/>
        <v>14526</v>
      </c>
      <c r="O123" s="104">
        <v>0</v>
      </c>
      <c r="P123" s="104">
        <v>0</v>
      </c>
      <c r="Q123" s="105">
        <f>135</f>
        <v>135</v>
      </c>
      <c r="R123" s="104">
        <v>0</v>
      </c>
      <c r="S123" s="173">
        <f>SUM(N123:R123)</f>
        <v>14661</v>
      </c>
    </row>
    <row r="124" spans="1:19" ht="15.75" customHeight="1" x14ac:dyDescent="0.25">
      <c r="A124" s="17" t="s">
        <v>398</v>
      </c>
      <c r="B124" s="53" t="s">
        <v>359</v>
      </c>
      <c r="C124" s="109">
        <v>0</v>
      </c>
      <c r="D124" s="109"/>
      <c r="E124" s="105"/>
      <c r="F124" s="104"/>
      <c r="G124" s="104"/>
      <c r="H124" s="104"/>
      <c r="I124" s="104"/>
      <c r="J124" s="104"/>
      <c r="K124" s="144"/>
      <c r="L124" s="104"/>
      <c r="M124" s="103"/>
      <c r="N124" s="102">
        <v>0</v>
      </c>
      <c r="O124" s="104"/>
      <c r="P124" s="104">
        <v>0</v>
      </c>
      <c r="Q124" s="105">
        <v>0</v>
      </c>
      <c r="R124" s="104">
        <f>15.65</f>
        <v>15.65</v>
      </c>
      <c r="S124" s="173">
        <f>SUM(N124:R124)</f>
        <v>15.65</v>
      </c>
    </row>
    <row r="125" spans="1:19" ht="15.75" customHeight="1" x14ac:dyDescent="0.25">
      <c r="A125" s="17" t="s">
        <v>399</v>
      </c>
      <c r="B125" s="53" t="s">
        <v>359</v>
      </c>
      <c r="C125" s="109">
        <v>0</v>
      </c>
      <c r="D125" s="109"/>
      <c r="E125" s="105"/>
      <c r="F125" s="104"/>
      <c r="G125" s="104"/>
      <c r="H125" s="104"/>
      <c r="I125" s="104"/>
      <c r="J125" s="104"/>
      <c r="K125" s="144"/>
      <c r="L125" s="104"/>
      <c r="M125" s="103"/>
      <c r="N125" s="102">
        <v>0</v>
      </c>
      <c r="O125" s="104"/>
      <c r="P125" s="104">
        <v>0</v>
      </c>
      <c r="Q125" s="105">
        <v>0</v>
      </c>
      <c r="R125" s="104">
        <f>1.74</f>
        <v>1.74</v>
      </c>
      <c r="S125" s="173">
        <f>SUM(N125:R125)</f>
        <v>1.74</v>
      </c>
    </row>
    <row r="126" spans="1:19" ht="15.75" customHeight="1" x14ac:dyDescent="0.25">
      <c r="A126" s="17" t="s">
        <v>360</v>
      </c>
      <c r="B126" s="53" t="s">
        <v>36</v>
      </c>
      <c r="C126" s="109">
        <v>0</v>
      </c>
      <c r="D126" s="109"/>
      <c r="E126" s="105"/>
      <c r="F126" s="104"/>
      <c r="G126" s="104"/>
      <c r="H126" s="104">
        <v>0</v>
      </c>
      <c r="I126" s="104">
        <v>0</v>
      </c>
      <c r="J126" s="104">
        <f>4273.06</f>
        <v>4273.0600000000004</v>
      </c>
      <c r="K126" s="144">
        <f>SUM(H126:J126)</f>
        <v>4273.0600000000004</v>
      </c>
      <c r="L126" s="104">
        <v>0</v>
      </c>
      <c r="M126" s="103">
        <v>0</v>
      </c>
      <c r="N126" s="102">
        <f t="shared" si="30"/>
        <v>4273.0600000000004</v>
      </c>
      <c r="O126" s="104">
        <v>0</v>
      </c>
      <c r="P126" s="104">
        <v>0</v>
      </c>
      <c r="Q126" s="105">
        <v>0</v>
      </c>
      <c r="R126" s="104">
        <v>0</v>
      </c>
      <c r="S126" s="173">
        <f t="shared" si="29"/>
        <v>4273.0600000000004</v>
      </c>
    </row>
    <row r="127" spans="1:19" x14ac:dyDescent="0.25">
      <c r="A127" s="54" t="s">
        <v>72</v>
      </c>
      <c r="B127" s="53" t="s">
        <v>36</v>
      </c>
      <c r="C127" s="109">
        <v>9246</v>
      </c>
      <c r="D127" s="109">
        <v>0</v>
      </c>
      <c r="E127" s="105">
        <v>555</v>
      </c>
      <c r="F127" s="104">
        <f t="shared" si="27"/>
        <v>9801</v>
      </c>
      <c r="G127" s="104">
        <v>0</v>
      </c>
      <c r="H127" s="104">
        <f t="shared" si="28"/>
        <v>9801</v>
      </c>
      <c r="I127" s="104">
        <v>0</v>
      </c>
      <c r="J127" s="104">
        <v>0</v>
      </c>
      <c r="K127" s="144">
        <f t="shared" si="16"/>
        <v>9801</v>
      </c>
      <c r="L127" s="104">
        <f>25</f>
        <v>25</v>
      </c>
      <c r="M127" s="103">
        <v>0</v>
      </c>
      <c r="N127" s="102">
        <f t="shared" si="30"/>
        <v>9826</v>
      </c>
      <c r="O127" s="104">
        <v>0</v>
      </c>
      <c r="P127" s="104">
        <v>0</v>
      </c>
      <c r="Q127" s="105">
        <v>0</v>
      </c>
      <c r="R127" s="104">
        <v>0</v>
      </c>
      <c r="S127" s="173">
        <f t="shared" si="29"/>
        <v>9826</v>
      </c>
    </row>
    <row r="128" spans="1:19" x14ac:dyDescent="0.25">
      <c r="A128" s="54" t="s">
        <v>73</v>
      </c>
      <c r="B128" s="53" t="s">
        <v>36</v>
      </c>
      <c r="C128" s="109">
        <v>10173</v>
      </c>
      <c r="D128" s="109">
        <v>0</v>
      </c>
      <c r="E128" s="105">
        <v>337</v>
      </c>
      <c r="F128" s="104">
        <f t="shared" si="27"/>
        <v>10510</v>
      </c>
      <c r="G128" s="104">
        <v>0</v>
      </c>
      <c r="H128" s="104">
        <f t="shared" si="28"/>
        <v>10510</v>
      </c>
      <c r="I128" s="104">
        <v>0</v>
      </c>
      <c r="J128" s="104">
        <v>0</v>
      </c>
      <c r="K128" s="144">
        <f t="shared" si="16"/>
        <v>10510</v>
      </c>
      <c r="L128" s="104">
        <f>21</f>
        <v>21</v>
      </c>
      <c r="M128" s="103">
        <v>0</v>
      </c>
      <c r="N128" s="102">
        <f t="shared" si="30"/>
        <v>10531</v>
      </c>
      <c r="O128" s="104">
        <v>0</v>
      </c>
      <c r="P128" s="104">
        <v>0</v>
      </c>
      <c r="Q128" s="105">
        <f>-5</f>
        <v>-5</v>
      </c>
      <c r="R128" s="104">
        <v>0</v>
      </c>
      <c r="S128" s="173">
        <f t="shared" si="29"/>
        <v>10526</v>
      </c>
    </row>
    <row r="129" spans="1:19" x14ac:dyDescent="0.25">
      <c r="A129" s="54" t="s">
        <v>74</v>
      </c>
      <c r="B129" s="53" t="s">
        <v>36</v>
      </c>
      <c r="C129" s="109">
        <v>7853</v>
      </c>
      <c r="D129" s="109">
        <v>0</v>
      </c>
      <c r="E129" s="105">
        <v>168</v>
      </c>
      <c r="F129" s="104">
        <f t="shared" si="27"/>
        <v>8021</v>
      </c>
      <c r="G129" s="104">
        <v>0</v>
      </c>
      <c r="H129" s="104">
        <f t="shared" si="28"/>
        <v>8021</v>
      </c>
      <c r="I129" s="104">
        <v>0</v>
      </c>
      <c r="J129" s="104">
        <v>0</v>
      </c>
      <c r="K129" s="144">
        <f t="shared" si="16"/>
        <v>8021</v>
      </c>
      <c r="L129" s="104">
        <f>67</f>
        <v>67</v>
      </c>
      <c r="M129" s="103">
        <v>0</v>
      </c>
      <c r="N129" s="102">
        <f t="shared" si="30"/>
        <v>8088</v>
      </c>
      <c r="O129" s="104">
        <v>0</v>
      </c>
      <c r="P129" s="104">
        <v>0</v>
      </c>
      <c r="Q129" s="105">
        <v>0</v>
      </c>
      <c r="R129" s="104">
        <v>0</v>
      </c>
      <c r="S129" s="173">
        <f t="shared" si="29"/>
        <v>8088</v>
      </c>
    </row>
    <row r="130" spans="1:19" x14ac:dyDescent="0.25">
      <c r="A130" s="54" t="s">
        <v>75</v>
      </c>
      <c r="B130" s="53" t="s">
        <v>36</v>
      </c>
      <c r="C130" s="109">
        <v>3554</v>
      </c>
      <c r="D130" s="109">
        <v>0</v>
      </c>
      <c r="E130" s="105">
        <v>462</v>
      </c>
      <c r="F130" s="104">
        <f t="shared" si="27"/>
        <v>4016</v>
      </c>
      <c r="G130" s="104">
        <v>0</v>
      </c>
      <c r="H130" s="104">
        <f t="shared" si="28"/>
        <v>4016</v>
      </c>
      <c r="I130" s="104">
        <v>0</v>
      </c>
      <c r="J130" s="104">
        <v>0</v>
      </c>
      <c r="K130" s="144">
        <f t="shared" si="16"/>
        <v>4016</v>
      </c>
      <c r="L130" s="104">
        <f>21</f>
        <v>21</v>
      </c>
      <c r="M130" s="103">
        <v>0</v>
      </c>
      <c r="N130" s="102">
        <f t="shared" si="30"/>
        <v>4037</v>
      </c>
      <c r="O130" s="104">
        <v>0</v>
      </c>
      <c r="P130" s="104">
        <v>0</v>
      </c>
      <c r="Q130" s="105">
        <v>0</v>
      </c>
      <c r="R130" s="104">
        <v>0</v>
      </c>
      <c r="S130" s="173">
        <f t="shared" si="29"/>
        <v>4037</v>
      </c>
    </row>
    <row r="131" spans="1:19" x14ac:dyDescent="0.25">
      <c r="A131" s="54" t="s">
        <v>372</v>
      </c>
      <c r="B131" s="53" t="s">
        <v>373</v>
      </c>
      <c r="C131" s="109">
        <v>0</v>
      </c>
      <c r="D131" s="109"/>
      <c r="E131" s="105"/>
      <c r="F131" s="104"/>
      <c r="G131" s="104"/>
      <c r="H131" s="104"/>
      <c r="I131" s="104"/>
      <c r="J131" s="104"/>
      <c r="K131" s="144">
        <v>0</v>
      </c>
      <c r="L131" s="104">
        <v>0</v>
      </c>
      <c r="M131" s="103">
        <f>62.9</f>
        <v>62.9</v>
      </c>
      <c r="N131" s="102">
        <f>SUM(K131:M131)</f>
        <v>62.9</v>
      </c>
      <c r="O131" s="104">
        <v>0</v>
      </c>
      <c r="P131" s="104">
        <v>0</v>
      </c>
      <c r="Q131" s="105">
        <v>0</v>
      </c>
      <c r="R131" s="104">
        <v>0</v>
      </c>
      <c r="S131" s="173">
        <f t="shared" si="29"/>
        <v>62.9</v>
      </c>
    </row>
    <row r="132" spans="1:19" ht="15.75" customHeight="1" x14ac:dyDescent="0.25">
      <c r="A132" s="54" t="s">
        <v>76</v>
      </c>
      <c r="B132" s="53" t="s">
        <v>36</v>
      </c>
      <c r="C132" s="109">
        <v>1575</v>
      </c>
      <c r="D132" s="109">
        <v>0</v>
      </c>
      <c r="E132" s="105">
        <v>100</v>
      </c>
      <c r="F132" s="104">
        <f t="shared" si="27"/>
        <v>1675</v>
      </c>
      <c r="G132" s="104">
        <v>0</v>
      </c>
      <c r="H132" s="104">
        <f t="shared" si="28"/>
        <v>1675</v>
      </c>
      <c r="I132" s="104">
        <v>0</v>
      </c>
      <c r="J132" s="104">
        <v>0</v>
      </c>
      <c r="K132" s="144">
        <f t="shared" si="16"/>
        <v>1675</v>
      </c>
      <c r="L132" s="104">
        <f>134</f>
        <v>134</v>
      </c>
      <c r="M132" s="103">
        <v>0</v>
      </c>
      <c r="N132" s="102">
        <f t="shared" si="30"/>
        <v>1809</v>
      </c>
      <c r="O132" s="104">
        <v>0</v>
      </c>
      <c r="P132" s="104">
        <v>0</v>
      </c>
      <c r="Q132" s="105">
        <v>0</v>
      </c>
      <c r="R132" s="104">
        <v>0</v>
      </c>
      <c r="S132" s="173">
        <f t="shared" si="29"/>
        <v>1809</v>
      </c>
    </row>
    <row r="133" spans="1:19" x14ac:dyDescent="0.25">
      <c r="A133" s="54" t="s">
        <v>77</v>
      </c>
      <c r="B133" s="53" t="s">
        <v>36</v>
      </c>
      <c r="C133" s="109">
        <v>11136</v>
      </c>
      <c r="D133" s="109">
        <v>0</v>
      </c>
      <c r="E133" s="105">
        <v>1062</v>
      </c>
      <c r="F133" s="104">
        <f t="shared" si="27"/>
        <v>12198</v>
      </c>
      <c r="G133" s="104">
        <v>0</v>
      </c>
      <c r="H133" s="104">
        <f t="shared" si="28"/>
        <v>12198</v>
      </c>
      <c r="I133" s="104">
        <v>0</v>
      </c>
      <c r="J133" s="104">
        <v>0</v>
      </c>
      <c r="K133" s="144">
        <f t="shared" ref="K133:K197" si="31">SUM(H133:J133)</f>
        <v>12198</v>
      </c>
      <c r="L133" s="104">
        <f>272.25</f>
        <v>272.25</v>
      </c>
      <c r="M133" s="103">
        <v>0</v>
      </c>
      <c r="N133" s="102">
        <f t="shared" si="30"/>
        <v>12470.25</v>
      </c>
      <c r="O133" s="104">
        <v>0</v>
      </c>
      <c r="P133" s="104">
        <v>0</v>
      </c>
      <c r="Q133" s="105">
        <f>101</f>
        <v>101</v>
      </c>
      <c r="R133" s="104">
        <v>0</v>
      </c>
      <c r="S133" s="173">
        <f t="shared" si="29"/>
        <v>12571.25</v>
      </c>
    </row>
    <row r="134" spans="1:19" x14ac:dyDescent="0.25">
      <c r="A134" s="54" t="s">
        <v>263</v>
      </c>
      <c r="B134" s="53" t="s">
        <v>264</v>
      </c>
      <c r="C134" s="109">
        <v>0</v>
      </c>
      <c r="D134" s="109">
        <f>166.86-143.36</f>
        <v>23.5</v>
      </c>
      <c r="E134" s="105">
        <v>0</v>
      </c>
      <c r="F134" s="104">
        <f t="shared" si="27"/>
        <v>23.5</v>
      </c>
      <c r="G134" s="104">
        <v>0</v>
      </c>
      <c r="H134" s="104">
        <f t="shared" si="28"/>
        <v>23.5</v>
      </c>
      <c r="I134" s="104">
        <v>0</v>
      </c>
      <c r="J134" s="104">
        <v>0</v>
      </c>
      <c r="K134" s="144">
        <f t="shared" si="31"/>
        <v>23.5</v>
      </c>
      <c r="L134" s="104">
        <v>0</v>
      </c>
      <c r="M134" s="103">
        <v>0</v>
      </c>
      <c r="N134" s="102">
        <f t="shared" si="30"/>
        <v>23.5</v>
      </c>
      <c r="O134" s="104">
        <v>0</v>
      </c>
      <c r="P134" s="104">
        <v>0</v>
      </c>
      <c r="Q134" s="105">
        <v>0</v>
      </c>
      <c r="R134" s="104">
        <v>0</v>
      </c>
      <c r="S134" s="173">
        <f t="shared" si="29"/>
        <v>23.5</v>
      </c>
    </row>
    <row r="135" spans="1:19" x14ac:dyDescent="0.25">
      <c r="A135" s="54" t="s">
        <v>265</v>
      </c>
      <c r="B135" s="53" t="s">
        <v>264</v>
      </c>
      <c r="C135" s="109">
        <v>0</v>
      </c>
      <c r="D135" s="109">
        <f>18.54-15.92</f>
        <v>2.6199999999999992</v>
      </c>
      <c r="E135" s="105">
        <v>0</v>
      </c>
      <c r="F135" s="104">
        <f t="shared" si="27"/>
        <v>2.6199999999999992</v>
      </c>
      <c r="G135" s="104">
        <v>0</v>
      </c>
      <c r="H135" s="104">
        <f t="shared" si="28"/>
        <v>2.6199999999999992</v>
      </c>
      <c r="I135" s="104">
        <v>0</v>
      </c>
      <c r="J135" s="104">
        <v>0</v>
      </c>
      <c r="K135" s="144">
        <f t="shared" si="31"/>
        <v>2.6199999999999992</v>
      </c>
      <c r="L135" s="104">
        <v>0</v>
      </c>
      <c r="M135" s="103">
        <v>0</v>
      </c>
      <c r="N135" s="102">
        <f t="shared" si="30"/>
        <v>2.6199999999999992</v>
      </c>
      <c r="O135" s="104">
        <v>0</v>
      </c>
      <c r="P135" s="104">
        <v>0</v>
      </c>
      <c r="Q135" s="105">
        <v>0</v>
      </c>
      <c r="R135" s="104">
        <v>0</v>
      </c>
      <c r="S135" s="173">
        <f t="shared" si="29"/>
        <v>2.6199999999999992</v>
      </c>
    </row>
    <row r="136" spans="1:19" x14ac:dyDescent="0.25">
      <c r="A136" s="54" t="s">
        <v>374</v>
      </c>
      <c r="B136" s="53" t="s">
        <v>373</v>
      </c>
      <c r="C136" s="109">
        <v>0</v>
      </c>
      <c r="D136" s="109"/>
      <c r="E136" s="105"/>
      <c r="F136" s="104"/>
      <c r="G136" s="102"/>
      <c r="H136" s="102"/>
      <c r="I136" s="102"/>
      <c r="J136" s="102"/>
      <c r="K136" s="144">
        <v>0</v>
      </c>
      <c r="L136" s="104">
        <v>0</v>
      </c>
      <c r="M136" s="103">
        <f>62.2</f>
        <v>62.2</v>
      </c>
      <c r="N136" s="102">
        <f>SUM(K136:M136)</f>
        <v>62.2</v>
      </c>
      <c r="O136" s="104">
        <v>0</v>
      </c>
      <c r="P136" s="104">
        <v>0</v>
      </c>
      <c r="Q136" s="105">
        <v>0</v>
      </c>
      <c r="R136" s="104">
        <v>0</v>
      </c>
      <c r="S136" s="173">
        <f t="shared" si="29"/>
        <v>62.2</v>
      </c>
    </row>
    <row r="137" spans="1:19" x14ac:dyDescent="0.25">
      <c r="A137" s="54" t="s">
        <v>78</v>
      </c>
      <c r="B137" s="53" t="s">
        <v>36</v>
      </c>
      <c r="C137" s="109">
        <v>2265</v>
      </c>
      <c r="D137" s="109">
        <v>0</v>
      </c>
      <c r="E137" s="105">
        <v>337</v>
      </c>
      <c r="F137" s="104">
        <f t="shared" si="27"/>
        <v>2602</v>
      </c>
      <c r="G137" s="102">
        <v>0</v>
      </c>
      <c r="H137" s="102">
        <f t="shared" si="28"/>
        <v>2602</v>
      </c>
      <c r="I137" s="102">
        <v>78</v>
      </c>
      <c r="J137" s="102">
        <v>0</v>
      </c>
      <c r="K137" s="144">
        <f t="shared" si="31"/>
        <v>2680</v>
      </c>
      <c r="L137" s="104">
        <v>0</v>
      </c>
      <c r="M137" s="103">
        <v>0</v>
      </c>
      <c r="N137" s="102">
        <f t="shared" si="30"/>
        <v>2680</v>
      </c>
      <c r="O137" s="104">
        <v>0</v>
      </c>
      <c r="P137" s="104">
        <v>0</v>
      </c>
      <c r="Q137" s="105">
        <v>0</v>
      </c>
      <c r="R137" s="104">
        <v>0</v>
      </c>
      <c r="S137" s="173">
        <f t="shared" ref="S137:S168" si="32">SUM(N137:R137)</f>
        <v>2680</v>
      </c>
    </row>
    <row r="138" spans="1:19" x14ac:dyDescent="0.25">
      <c r="A138" s="54" t="s">
        <v>79</v>
      </c>
      <c r="B138" s="53" t="s">
        <v>36</v>
      </c>
      <c r="C138" s="109">
        <v>2082</v>
      </c>
      <c r="D138" s="135">
        <v>0</v>
      </c>
      <c r="E138" s="105">
        <v>600</v>
      </c>
      <c r="F138" s="104">
        <f t="shared" si="27"/>
        <v>2682</v>
      </c>
      <c r="G138" s="104">
        <v>0</v>
      </c>
      <c r="H138" s="104">
        <f t="shared" si="28"/>
        <v>2682</v>
      </c>
      <c r="I138" s="104">
        <v>0</v>
      </c>
      <c r="J138" s="104">
        <v>0</v>
      </c>
      <c r="K138" s="144">
        <f t="shared" si="31"/>
        <v>2682</v>
      </c>
      <c r="L138" s="104">
        <v>0</v>
      </c>
      <c r="M138" s="103">
        <v>0</v>
      </c>
      <c r="N138" s="102">
        <f t="shared" si="30"/>
        <v>2682</v>
      </c>
      <c r="O138" s="104">
        <v>0</v>
      </c>
      <c r="P138" s="104">
        <v>0</v>
      </c>
      <c r="Q138" s="105">
        <v>0</v>
      </c>
      <c r="R138" s="104">
        <v>0</v>
      </c>
      <c r="S138" s="173">
        <f t="shared" si="32"/>
        <v>2682</v>
      </c>
    </row>
    <row r="139" spans="1:19" x14ac:dyDescent="0.25">
      <c r="A139" s="58" t="s">
        <v>102</v>
      </c>
      <c r="B139" s="59" t="s">
        <v>36</v>
      </c>
      <c r="C139" s="109">
        <v>0</v>
      </c>
      <c r="D139" s="135"/>
      <c r="E139" s="105"/>
      <c r="F139" s="104">
        <v>0</v>
      </c>
      <c r="G139" s="104">
        <f>217</f>
        <v>217</v>
      </c>
      <c r="H139" s="104">
        <f>SUM(F139:G139)</f>
        <v>217</v>
      </c>
      <c r="I139" s="104">
        <v>0</v>
      </c>
      <c r="J139" s="104">
        <v>0</v>
      </c>
      <c r="K139" s="144">
        <f t="shared" si="31"/>
        <v>217</v>
      </c>
      <c r="L139" s="104">
        <v>0</v>
      </c>
      <c r="M139" s="103">
        <v>0</v>
      </c>
      <c r="N139" s="102">
        <f t="shared" si="30"/>
        <v>217</v>
      </c>
      <c r="O139" s="104">
        <v>0</v>
      </c>
      <c r="P139" s="104">
        <v>0</v>
      </c>
      <c r="Q139" s="105">
        <v>0</v>
      </c>
      <c r="R139" s="104">
        <v>0</v>
      </c>
      <c r="S139" s="173">
        <f t="shared" si="32"/>
        <v>217</v>
      </c>
    </row>
    <row r="140" spans="1:19" x14ac:dyDescent="0.25">
      <c r="A140" s="58" t="s">
        <v>370</v>
      </c>
      <c r="B140" s="59" t="s">
        <v>36</v>
      </c>
      <c r="C140" s="109">
        <v>0</v>
      </c>
      <c r="D140" s="135"/>
      <c r="E140" s="105"/>
      <c r="F140" s="104"/>
      <c r="G140" s="104"/>
      <c r="H140" s="104"/>
      <c r="I140" s="104"/>
      <c r="J140" s="104"/>
      <c r="K140" s="144">
        <f>226</f>
        <v>226</v>
      </c>
      <c r="L140" s="104">
        <v>0</v>
      </c>
      <c r="M140" s="103">
        <v>0</v>
      </c>
      <c r="N140" s="102">
        <f>SUM(K140:M140)</f>
        <v>226</v>
      </c>
      <c r="O140" s="104">
        <v>0</v>
      </c>
      <c r="P140" s="104">
        <v>0</v>
      </c>
      <c r="Q140" s="105">
        <v>0</v>
      </c>
      <c r="R140" s="104">
        <v>0</v>
      </c>
      <c r="S140" s="173">
        <f t="shared" si="32"/>
        <v>226</v>
      </c>
    </row>
    <row r="141" spans="1:19" x14ac:dyDescent="0.25">
      <c r="A141" s="58" t="s">
        <v>80</v>
      </c>
      <c r="B141" s="59" t="s">
        <v>36</v>
      </c>
      <c r="C141" s="109">
        <v>2658</v>
      </c>
      <c r="D141" s="135">
        <v>0</v>
      </c>
      <c r="E141" s="105">
        <v>0</v>
      </c>
      <c r="F141" s="104">
        <f t="shared" si="27"/>
        <v>2658</v>
      </c>
      <c r="G141" s="104">
        <v>0</v>
      </c>
      <c r="H141" s="104">
        <f t="shared" si="28"/>
        <v>2658</v>
      </c>
      <c r="I141" s="104">
        <v>0</v>
      </c>
      <c r="J141" s="104">
        <v>0</v>
      </c>
      <c r="K141" s="144">
        <f t="shared" si="31"/>
        <v>2658</v>
      </c>
      <c r="L141" s="104">
        <v>0</v>
      </c>
      <c r="M141" s="103">
        <v>0</v>
      </c>
      <c r="N141" s="102">
        <f t="shared" si="30"/>
        <v>2658</v>
      </c>
      <c r="O141" s="104">
        <v>0</v>
      </c>
      <c r="P141" s="104">
        <v>0</v>
      </c>
      <c r="Q141" s="105">
        <v>0</v>
      </c>
      <c r="R141" s="104">
        <v>0</v>
      </c>
      <c r="S141" s="173">
        <f t="shared" si="32"/>
        <v>2658</v>
      </c>
    </row>
    <row r="142" spans="1:19" ht="15.75" customHeight="1" x14ac:dyDescent="0.25">
      <c r="A142" s="58" t="s">
        <v>81</v>
      </c>
      <c r="B142" s="59" t="s">
        <v>36</v>
      </c>
      <c r="C142" s="109">
        <v>21688</v>
      </c>
      <c r="D142" s="135">
        <v>0</v>
      </c>
      <c r="E142" s="105">
        <v>0</v>
      </c>
      <c r="F142" s="104">
        <f t="shared" si="27"/>
        <v>21688</v>
      </c>
      <c r="G142" s="104">
        <v>0</v>
      </c>
      <c r="H142" s="104">
        <f t="shared" si="28"/>
        <v>21688</v>
      </c>
      <c r="I142" s="104">
        <v>0</v>
      </c>
      <c r="J142" s="104">
        <v>0</v>
      </c>
      <c r="K142" s="144">
        <f t="shared" si="31"/>
        <v>21688</v>
      </c>
      <c r="L142" s="104">
        <f>40</f>
        <v>40</v>
      </c>
      <c r="M142" s="103">
        <v>0</v>
      </c>
      <c r="N142" s="102">
        <f t="shared" si="30"/>
        <v>21728</v>
      </c>
      <c r="O142" s="104">
        <v>0</v>
      </c>
      <c r="P142" s="104">
        <v>0</v>
      </c>
      <c r="Q142" s="105">
        <v>0</v>
      </c>
      <c r="R142" s="104">
        <v>0</v>
      </c>
      <c r="S142" s="173">
        <f t="shared" si="32"/>
        <v>21728</v>
      </c>
    </row>
    <row r="143" spans="1:19" ht="15.75" customHeight="1" x14ac:dyDescent="0.25">
      <c r="A143" s="58" t="s">
        <v>344</v>
      </c>
      <c r="B143" s="59" t="s">
        <v>36</v>
      </c>
      <c r="C143" s="109">
        <v>0</v>
      </c>
      <c r="D143" s="135"/>
      <c r="E143" s="105"/>
      <c r="F143" s="104"/>
      <c r="G143" s="104"/>
      <c r="H143" s="104">
        <f>1829</f>
        <v>1829</v>
      </c>
      <c r="I143" s="104">
        <v>0</v>
      </c>
      <c r="J143" s="104">
        <v>0</v>
      </c>
      <c r="K143" s="144">
        <f t="shared" si="31"/>
        <v>1829</v>
      </c>
      <c r="L143" s="104">
        <v>0</v>
      </c>
      <c r="M143" s="103">
        <v>0</v>
      </c>
      <c r="N143" s="102">
        <f t="shared" si="30"/>
        <v>1829</v>
      </c>
      <c r="O143" s="104">
        <v>0</v>
      </c>
      <c r="P143" s="104">
        <v>0</v>
      </c>
      <c r="Q143" s="105">
        <v>0</v>
      </c>
      <c r="R143" s="104">
        <v>0</v>
      </c>
      <c r="S143" s="173">
        <f t="shared" si="32"/>
        <v>1829</v>
      </c>
    </row>
    <row r="144" spans="1:19" ht="15.75" customHeight="1" x14ac:dyDescent="0.25">
      <c r="A144" s="58" t="s">
        <v>327</v>
      </c>
      <c r="B144" s="59" t="s">
        <v>36</v>
      </c>
      <c r="C144" s="109">
        <v>0</v>
      </c>
      <c r="D144" s="135"/>
      <c r="E144" s="105"/>
      <c r="F144" s="104">
        <v>0</v>
      </c>
      <c r="G144" s="104">
        <f>15</f>
        <v>15</v>
      </c>
      <c r="H144" s="104">
        <f>SUM(F144:G144)</f>
        <v>15</v>
      </c>
      <c r="I144" s="104">
        <v>0</v>
      </c>
      <c r="J144" s="104">
        <v>0</v>
      </c>
      <c r="K144" s="105">
        <f t="shared" si="31"/>
        <v>15</v>
      </c>
      <c r="L144" s="104">
        <v>0</v>
      </c>
      <c r="M144" s="103">
        <v>0</v>
      </c>
      <c r="N144" s="102">
        <f t="shared" si="30"/>
        <v>15</v>
      </c>
      <c r="O144" s="104">
        <v>0</v>
      </c>
      <c r="P144" s="104">
        <v>0</v>
      </c>
      <c r="Q144" s="105">
        <v>0</v>
      </c>
      <c r="R144" s="104">
        <v>0</v>
      </c>
      <c r="S144" s="173">
        <f t="shared" si="32"/>
        <v>15</v>
      </c>
    </row>
    <row r="145" spans="1:19" ht="51" x14ac:dyDescent="0.25">
      <c r="A145" s="60" t="s">
        <v>345</v>
      </c>
      <c r="B145" s="59" t="s">
        <v>36</v>
      </c>
      <c r="C145" s="109">
        <v>0</v>
      </c>
      <c r="D145" s="135"/>
      <c r="E145" s="105"/>
      <c r="F145" s="104"/>
      <c r="G145" s="104"/>
      <c r="H145" s="104">
        <v>0</v>
      </c>
      <c r="I145" s="104">
        <v>0</v>
      </c>
      <c r="J145" s="104">
        <f>23</f>
        <v>23</v>
      </c>
      <c r="K145" s="103">
        <f>SUM(H145:J145)</f>
        <v>23</v>
      </c>
      <c r="L145" s="104">
        <v>0</v>
      </c>
      <c r="M145" s="103">
        <v>0</v>
      </c>
      <c r="N145" s="104">
        <f t="shared" si="30"/>
        <v>23</v>
      </c>
      <c r="O145" s="104">
        <v>0</v>
      </c>
      <c r="P145" s="104">
        <v>0</v>
      </c>
      <c r="Q145" s="105">
        <v>0</v>
      </c>
      <c r="R145" s="104">
        <v>0</v>
      </c>
      <c r="S145" s="173">
        <f t="shared" si="32"/>
        <v>23</v>
      </c>
    </row>
    <row r="146" spans="1:19" ht="51" x14ac:dyDescent="0.25">
      <c r="A146" s="60" t="s">
        <v>346</v>
      </c>
      <c r="B146" s="59" t="s">
        <v>36</v>
      </c>
      <c r="C146" s="135">
        <v>0</v>
      </c>
      <c r="D146" s="135"/>
      <c r="E146" s="105"/>
      <c r="F146" s="104"/>
      <c r="G146" s="104"/>
      <c r="H146" s="104">
        <v>0</v>
      </c>
      <c r="I146" s="104">
        <v>0</v>
      </c>
      <c r="J146" s="104">
        <f>48</f>
        <v>48</v>
      </c>
      <c r="K146" s="103">
        <f>SUM(H146:J146)</f>
        <v>48</v>
      </c>
      <c r="L146" s="104">
        <v>0</v>
      </c>
      <c r="M146" s="103">
        <v>0</v>
      </c>
      <c r="N146" s="102">
        <f t="shared" si="30"/>
        <v>48</v>
      </c>
      <c r="O146" s="104">
        <v>0</v>
      </c>
      <c r="P146" s="104">
        <v>0</v>
      </c>
      <c r="Q146" s="105">
        <v>0</v>
      </c>
      <c r="R146" s="104">
        <v>0</v>
      </c>
      <c r="S146" s="173">
        <f t="shared" si="32"/>
        <v>48</v>
      </c>
    </row>
    <row r="147" spans="1:19" x14ac:dyDescent="0.25">
      <c r="A147" s="60" t="s">
        <v>82</v>
      </c>
      <c r="B147" s="59" t="s">
        <v>36</v>
      </c>
      <c r="C147" s="135">
        <v>26531</v>
      </c>
      <c r="D147" s="135"/>
      <c r="E147" s="105"/>
      <c r="F147" s="104"/>
      <c r="G147" s="104"/>
      <c r="H147" s="104">
        <v>26531</v>
      </c>
      <c r="I147" s="104">
        <v>0</v>
      </c>
      <c r="J147" s="104">
        <v>0</v>
      </c>
      <c r="K147" s="103">
        <f>SUM(H147:J147)</f>
        <v>26531</v>
      </c>
      <c r="L147" s="104">
        <v>0</v>
      </c>
      <c r="M147" s="104">
        <v>0</v>
      </c>
      <c r="N147" s="102">
        <f t="shared" si="30"/>
        <v>26531</v>
      </c>
      <c r="O147" s="104">
        <v>0</v>
      </c>
      <c r="P147" s="104">
        <v>0</v>
      </c>
      <c r="Q147" s="105">
        <v>0</v>
      </c>
      <c r="R147" s="104">
        <v>0</v>
      </c>
      <c r="S147" s="173">
        <f t="shared" si="32"/>
        <v>26531</v>
      </c>
    </row>
    <row r="148" spans="1:19" ht="37.5" customHeight="1" x14ac:dyDescent="0.25">
      <c r="A148" s="61" t="s">
        <v>287</v>
      </c>
      <c r="B148" s="53" t="s">
        <v>36</v>
      </c>
      <c r="C148" s="158">
        <v>0</v>
      </c>
      <c r="D148" s="109">
        <v>0</v>
      </c>
      <c r="E148" s="104">
        <v>1400</v>
      </c>
      <c r="F148" s="104">
        <f t="shared" si="27"/>
        <v>1400</v>
      </c>
      <c r="G148" s="104">
        <v>0</v>
      </c>
      <c r="H148" s="104">
        <f t="shared" si="28"/>
        <v>1400</v>
      </c>
      <c r="I148" s="104">
        <v>0</v>
      </c>
      <c r="J148" s="104">
        <v>0</v>
      </c>
      <c r="K148" s="104">
        <f t="shared" si="31"/>
        <v>1400</v>
      </c>
      <c r="L148" s="104">
        <v>0</v>
      </c>
      <c r="M148" s="104">
        <v>0</v>
      </c>
      <c r="N148" s="104">
        <f t="shared" si="30"/>
        <v>1400</v>
      </c>
      <c r="O148" s="114">
        <v>0</v>
      </c>
      <c r="P148" s="104">
        <v>0</v>
      </c>
      <c r="Q148" s="105">
        <v>0</v>
      </c>
      <c r="R148" s="104">
        <v>0</v>
      </c>
      <c r="S148" s="173">
        <f t="shared" si="32"/>
        <v>1400</v>
      </c>
    </row>
    <row r="149" spans="1:19" ht="37.5" customHeight="1" x14ac:dyDescent="0.25">
      <c r="A149" s="25" t="s">
        <v>83</v>
      </c>
      <c r="B149" s="155"/>
      <c r="C149" s="229">
        <v>9000</v>
      </c>
      <c r="D149" s="229">
        <f>-2223.7</f>
        <v>-2223.6999999999998</v>
      </c>
      <c r="E149" s="137">
        <v>82.59</v>
      </c>
      <c r="F149" s="108">
        <f t="shared" si="27"/>
        <v>6858.89</v>
      </c>
      <c r="G149" s="108">
        <v>0</v>
      </c>
      <c r="H149" s="108">
        <f t="shared" si="28"/>
        <v>6858.89</v>
      </c>
      <c r="I149" s="108">
        <v>0</v>
      </c>
      <c r="J149" s="140">
        <v>0</v>
      </c>
      <c r="K149" s="108">
        <f t="shared" si="31"/>
        <v>6858.89</v>
      </c>
      <c r="L149" s="108">
        <f>583.83</f>
        <v>583.83000000000004</v>
      </c>
      <c r="M149" s="108">
        <f>-1663.62</f>
        <v>-1663.62</v>
      </c>
      <c r="N149" s="108">
        <f t="shared" si="30"/>
        <v>5779.1</v>
      </c>
      <c r="O149" s="141">
        <v>0</v>
      </c>
      <c r="P149" s="108">
        <v>0</v>
      </c>
      <c r="Q149" s="137">
        <f>-5000</f>
        <v>-5000</v>
      </c>
      <c r="R149" s="137">
        <v>0</v>
      </c>
      <c r="S149" s="182">
        <f t="shared" si="32"/>
        <v>779.10000000000036</v>
      </c>
    </row>
    <row r="150" spans="1:19" ht="16.5" customHeight="1" x14ac:dyDescent="0.25">
      <c r="A150" s="25" t="s">
        <v>376</v>
      </c>
      <c r="B150" s="199" t="s">
        <v>84</v>
      </c>
      <c r="C150" s="201">
        <v>0</v>
      </c>
      <c r="D150" s="197">
        <f>173.63</f>
        <v>173.63</v>
      </c>
      <c r="E150" s="138">
        <v>0</v>
      </c>
      <c r="F150" s="139">
        <f t="shared" si="27"/>
        <v>173.63</v>
      </c>
      <c r="G150" s="139">
        <v>0</v>
      </c>
      <c r="H150" s="139">
        <f t="shared" si="28"/>
        <v>173.63</v>
      </c>
      <c r="I150" s="139">
        <v>0</v>
      </c>
      <c r="J150" s="138">
        <v>0</v>
      </c>
      <c r="K150" s="108">
        <f t="shared" si="31"/>
        <v>173.63</v>
      </c>
      <c r="L150" s="108">
        <f>-15.79</f>
        <v>-15.79</v>
      </c>
      <c r="M150" s="108">
        <f>177.55</f>
        <v>177.55</v>
      </c>
      <c r="N150" s="108">
        <f t="shared" si="30"/>
        <v>335.39</v>
      </c>
      <c r="O150" s="141">
        <v>0</v>
      </c>
      <c r="P150" s="108">
        <v>0</v>
      </c>
      <c r="Q150" s="137">
        <v>0</v>
      </c>
      <c r="R150" s="137">
        <v>0</v>
      </c>
      <c r="S150" s="166">
        <f t="shared" si="32"/>
        <v>335.39</v>
      </c>
    </row>
    <row r="151" spans="1:19" ht="16.5" customHeight="1" x14ac:dyDescent="0.25">
      <c r="A151" s="198" t="s">
        <v>85</v>
      </c>
      <c r="B151" s="199" t="s">
        <v>84</v>
      </c>
      <c r="C151" s="201">
        <v>0</v>
      </c>
      <c r="D151" s="197">
        <f>114.47</f>
        <v>114.47</v>
      </c>
      <c r="E151" s="138">
        <v>0</v>
      </c>
      <c r="F151" s="139">
        <f t="shared" si="27"/>
        <v>114.47</v>
      </c>
      <c r="G151" s="138">
        <v>0</v>
      </c>
      <c r="H151" s="139">
        <f t="shared" si="28"/>
        <v>114.47</v>
      </c>
      <c r="I151" s="139">
        <v>0</v>
      </c>
      <c r="J151" s="138">
        <v>0</v>
      </c>
      <c r="K151" s="108">
        <f t="shared" si="31"/>
        <v>114.47</v>
      </c>
      <c r="L151" s="108">
        <f>-55.94</f>
        <v>-55.94</v>
      </c>
      <c r="M151" s="137">
        <f>85.12</f>
        <v>85.12</v>
      </c>
      <c r="N151" s="108">
        <f t="shared" si="30"/>
        <v>143.65</v>
      </c>
      <c r="O151" s="141">
        <v>0</v>
      </c>
      <c r="P151" s="137">
        <v>0</v>
      </c>
      <c r="Q151" s="137">
        <v>0</v>
      </c>
      <c r="R151" s="137">
        <v>0</v>
      </c>
      <c r="S151" s="166">
        <f t="shared" si="32"/>
        <v>143.65</v>
      </c>
    </row>
    <row r="152" spans="1:19" ht="16.5" customHeight="1" x14ac:dyDescent="0.25">
      <c r="A152" s="198" t="s">
        <v>86</v>
      </c>
      <c r="B152" s="199" t="s">
        <v>84</v>
      </c>
      <c r="C152" s="201">
        <v>0</v>
      </c>
      <c r="D152" s="181">
        <f>182.99</f>
        <v>182.99</v>
      </c>
      <c r="E152" s="153">
        <v>0</v>
      </c>
      <c r="F152" s="154">
        <f t="shared" si="27"/>
        <v>182.99</v>
      </c>
      <c r="G152" s="153">
        <v>0</v>
      </c>
      <c r="H152" s="153">
        <f t="shared" si="28"/>
        <v>182.99</v>
      </c>
      <c r="I152" s="153">
        <v>0</v>
      </c>
      <c r="J152" s="153">
        <v>0</v>
      </c>
      <c r="K152" s="108">
        <f t="shared" si="31"/>
        <v>182.99</v>
      </c>
      <c r="L152" s="108">
        <f>-41.37</f>
        <v>-41.37</v>
      </c>
      <c r="M152" s="137">
        <f>167.24</f>
        <v>167.24</v>
      </c>
      <c r="N152" s="108">
        <f t="shared" si="30"/>
        <v>308.86</v>
      </c>
      <c r="O152" s="141">
        <v>0</v>
      </c>
      <c r="P152" s="137">
        <v>0</v>
      </c>
      <c r="Q152" s="137">
        <v>0</v>
      </c>
      <c r="R152" s="137">
        <v>0</v>
      </c>
      <c r="S152" s="166">
        <f t="shared" si="32"/>
        <v>308.86</v>
      </c>
    </row>
    <row r="153" spans="1:19" ht="16.5" customHeight="1" x14ac:dyDescent="0.25">
      <c r="A153" s="198" t="s">
        <v>87</v>
      </c>
      <c r="B153" s="199" t="s">
        <v>84</v>
      </c>
      <c r="C153" s="156">
        <v>0</v>
      </c>
      <c r="D153" s="229">
        <f>407.87</f>
        <v>407.87</v>
      </c>
      <c r="E153" s="228">
        <v>0</v>
      </c>
      <c r="F153" s="228">
        <f t="shared" si="27"/>
        <v>407.87</v>
      </c>
      <c r="G153" s="228">
        <v>0</v>
      </c>
      <c r="H153" s="228">
        <f t="shared" si="28"/>
        <v>407.87</v>
      </c>
      <c r="I153" s="228">
        <v>0</v>
      </c>
      <c r="J153" s="228">
        <v>0</v>
      </c>
      <c r="K153" s="141">
        <f t="shared" si="31"/>
        <v>407.87</v>
      </c>
      <c r="L153" s="108">
        <f>-90.54</f>
        <v>-90.54</v>
      </c>
      <c r="M153" s="137">
        <f>229.13</f>
        <v>229.13</v>
      </c>
      <c r="N153" s="108">
        <f t="shared" si="30"/>
        <v>546.46</v>
      </c>
      <c r="O153" s="228">
        <v>0</v>
      </c>
      <c r="P153" s="137">
        <v>0</v>
      </c>
      <c r="Q153" s="137">
        <v>0</v>
      </c>
      <c r="R153" s="137">
        <v>0</v>
      </c>
      <c r="S153" s="166">
        <f t="shared" si="32"/>
        <v>546.46</v>
      </c>
    </row>
    <row r="154" spans="1:19" ht="16.5" customHeight="1" x14ac:dyDescent="0.25">
      <c r="A154" s="198" t="s">
        <v>88</v>
      </c>
      <c r="B154" s="199" t="s">
        <v>84</v>
      </c>
      <c r="C154" s="201">
        <v>0</v>
      </c>
      <c r="D154" s="229">
        <f>285.02</f>
        <v>285.02</v>
      </c>
      <c r="E154" s="228">
        <v>0</v>
      </c>
      <c r="F154" s="228">
        <f t="shared" si="27"/>
        <v>285.02</v>
      </c>
      <c r="G154" s="228">
        <v>0</v>
      </c>
      <c r="H154" s="228">
        <f t="shared" si="28"/>
        <v>285.02</v>
      </c>
      <c r="I154" s="228">
        <v>0</v>
      </c>
      <c r="J154" s="228">
        <v>0</v>
      </c>
      <c r="K154" s="228">
        <f t="shared" si="31"/>
        <v>285.02</v>
      </c>
      <c r="L154" s="228">
        <f>-60.53</f>
        <v>-60.53</v>
      </c>
      <c r="M154" s="228">
        <f>200.99</f>
        <v>200.99</v>
      </c>
      <c r="N154" s="137">
        <f t="shared" si="30"/>
        <v>425.48</v>
      </c>
      <c r="O154" s="228">
        <v>0</v>
      </c>
      <c r="P154" s="137">
        <v>0</v>
      </c>
      <c r="Q154" s="137">
        <v>0</v>
      </c>
      <c r="R154" s="137">
        <v>0</v>
      </c>
      <c r="S154" s="166">
        <f t="shared" si="32"/>
        <v>425.48</v>
      </c>
    </row>
    <row r="155" spans="1:19" ht="16.5" customHeight="1" x14ac:dyDescent="0.25">
      <c r="A155" s="198" t="s">
        <v>89</v>
      </c>
      <c r="B155" s="199" t="s">
        <v>84</v>
      </c>
      <c r="C155" s="201">
        <v>0</v>
      </c>
      <c r="D155" s="229">
        <f>187.67</f>
        <v>187.67</v>
      </c>
      <c r="E155" s="228">
        <v>0</v>
      </c>
      <c r="F155" s="228">
        <f t="shared" si="27"/>
        <v>187.67</v>
      </c>
      <c r="G155" s="228">
        <v>0</v>
      </c>
      <c r="H155" s="228">
        <f t="shared" si="28"/>
        <v>187.67</v>
      </c>
      <c r="I155" s="228">
        <v>0</v>
      </c>
      <c r="J155" s="228">
        <v>0</v>
      </c>
      <c r="K155" s="228">
        <f t="shared" si="31"/>
        <v>187.67</v>
      </c>
      <c r="L155" s="228">
        <f>-23.26</f>
        <v>-23.26</v>
      </c>
      <c r="M155" s="228">
        <f>146.46</f>
        <v>146.46</v>
      </c>
      <c r="N155" s="137">
        <f t="shared" si="30"/>
        <v>310.87</v>
      </c>
      <c r="O155" s="228">
        <v>0</v>
      </c>
      <c r="P155" s="137">
        <v>0</v>
      </c>
      <c r="Q155" s="137">
        <v>0</v>
      </c>
      <c r="R155" s="137">
        <v>0</v>
      </c>
      <c r="S155" s="166">
        <f t="shared" si="32"/>
        <v>310.87</v>
      </c>
    </row>
    <row r="156" spans="1:19" ht="16.5" customHeight="1" x14ac:dyDescent="0.25">
      <c r="A156" s="198" t="s">
        <v>90</v>
      </c>
      <c r="B156" s="199" t="s">
        <v>84</v>
      </c>
      <c r="C156" s="201">
        <v>0</v>
      </c>
      <c r="D156" s="229">
        <f>306.78</f>
        <v>306.77999999999997</v>
      </c>
      <c r="E156" s="228">
        <v>0</v>
      </c>
      <c r="F156" s="228">
        <f t="shared" si="27"/>
        <v>306.77999999999997</v>
      </c>
      <c r="G156" s="228">
        <v>0</v>
      </c>
      <c r="H156" s="228">
        <f t="shared" si="28"/>
        <v>306.77999999999997</v>
      </c>
      <c r="I156" s="228">
        <v>0</v>
      </c>
      <c r="J156" s="228">
        <v>0</v>
      </c>
      <c r="K156" s="228">
        <f t="shared" si="31"/>
        <v>306.77999999999997</v>
      </c>
      <c r="L156" s="228">
        <f>-75.33</f>
        <v>-75.33</v>
      </c>
      <c r="M156" s="228">
        <f>183.73</f>
        <v>183.73</v>
      </c>
      <c r="N156" s="137">
        <f t="shared" si="30"/>
        <v>415.17999999999995</v>
      </c>
      <c r="O156" s="228">
        <v>0</v>
      </c>
      <c r="P156" s="137">
        <v>0</v>
      </c>
      <c r="Q156" s="137">
        <v>0</v>
      </c>
      <c r="R156" s="137">
        <v>0</v>
      </c>
      <c r="S156" s="166">
        <f t="shared" si="32"/>
        <v>415.17999999999995</v>
      </c>
    </row>
    <row r="157" spans="1:19" ht="16.5" customHeight="1" x14ac:dyDescent="0.25">
      <c r="A157" s="198" t="s">
        <v>91</v>
      </c>
      <c r="B157" s="199" t="s">
        <v>84</v>
      </c>
      <c r="C157" s="201">
        <v>0</v>
      </c>
      <c r="D157" s="229">
        <f>398.76</f>
        <v>398.76</v>
      </c>
      <c r="E157" s="228">
        <v>0</v>
      </c>
      <c r="F157" s="228">
        <f t="shared" si="27"/>
        <v>398.76</v>
      </c>
      <c r="G157" s="228">
        <v>0</v>
      </c>
      <c r="H157" s="228">
        <f t="shared" si="28"/>
        <v>398.76</v>
      </c>
      <c r="I157" s="228">
        <v>0</v>
      </c>
      <c r="J157" s="228">
        <v>0</v>
      </c>
      <c r="K157" s="228">
        <f t="shared" si="31"/>
        <v>398.76</v>
      </c>
      <c r="L157" s="228">
        <f>-148.69</f>
        <v>-148.69</v>
      </c>
      <c r="M157" s="228">
        <f>310.47</f>
        <v>310.47000000000003</v>
      </c>
      <c r="N157" s="137">
        <f t="shared" si="30"/>
        <v>560.54</v>
      </c>
      <c r="O157" s="228">
        <v>0</v>
      </c>
      <c r="P157" s="137">
        <v>0</v>
      </c>
      <c r="Q157" s="137">
        <v>0</v>
      </c>
      <c r="R157" s="137">
        <v>0</v>
      </c>
      <c r="S157" s="166">
        <f t="shared" si="32"/>
        <v>560.54</v>
      </c>
    </row>
    <row r="158" spans="1:19" ht="17.25" customHeight="1" x14ac:dyDescent="0.25">
      <c r="A158" s="198" t="s">
        <v>92</v>
      </c>
      <c r="B158" s="199" t="s">
        <v>84</v>
      </c>
      <c r="C158" s="201">
        <v>0</v>
      </c>
      <c r="D158" s="229">
        <f>43.06</f>
        <v>43.06</v>
      </c>
      <c r="E158" s="228">
        <v>0</v>
      </c>
      <c r="F158" s="228">
        <f t="shared" si="27"/>
        <v>43.06</v>
      </c>
      <c r="G158" s="228">
        <v>0</v>
      </c>
      <c r="H158" s="228">
        <f t="shared" si="28"/>
        <v>43.06</v>
      </c>
      <c r="I158" s="228">
        <v>0</v>
      </c>
      <c r="J158" s="228">
        <v>0</v>
      </c>
      <c r="K158" s="228">
        <f t="shared" si="31"/>
        <v>43.06</v>
      </c>
      <c r="L158" s="228">
        <f>-19.48</f>
        <v>-19.48</v>
      </c>
      <c r="M158" s="228">
        <f>47.28</f>
        <v>47.28</v>
      </c>
      <c r="N158" s="137">
        <f t="shared" si="30"/>
        <v>70.86</v>
      </c>
      <c r="O158" s="228">
        <v>0</v>
      </c>
      <c r="P158" s="137">
        <v>0</v>
      </c>
      <c r="Q158" s="137">
        <v>0</v>
      </c>
      <c r="R158" s="137">
        <v>0</v>
      </c>
      <c r="S158" s="166">
        <f t="shared" si="32"/>
        <v>70.86</v>
      </c>
    </row>
    <row r="159" spans="1:19" ht="16.5" customHeight="1" x14ac:dyDescent="0.25">
      <c r="A159" s="198" t="s">
        <v>364</v>
      </c>
      <c r="B159" s="199" t="s">
        <v>84</v>
      </c>
      <c r="C159" s="156">
        <v>0</v>
      </c>
      <c r="D159" s="229">
        <f>19.89</f>
        <v>19.89</v>
      </c>
      <c r="E159" s="228">
        <v>0</v>
      </c>
      <c r="F159" s="228">
        <f t="shared" si="27"/>
        <v>19.89</v>
      </c>
      <c r="G159" s="228">
        <v>0</v>
      </c>
      <c r="H159" s="228">
        <f t="shared" si="28"/>
        <v>19.89</v>
      </c>
      <c r="I159" s="228">
        <v>0</v>
      </c>
      <c r="J159" s="228">
        <v>0</v>
      </c>
      <c r="K159" s="141">
        <f t="shared" si="31"/>
        <v>19.89</v>
      </c>
      <c r="L159" s="108">
        <f>-3.36</f>
        <v>-3.36</v>
      </c>
      <c r="M159" s="137">
        <f>13.09</f>
        <v>13.09</v>
      </c>
      <c r="N159" s="108">
        <f t="shared" si="30"/>
        <v>29.62</v>
      </c>
      <c r="O159" s="228">
        <v>0</v>
      </c>
      <c r="P159" s="137">
        <v>0</v>
      </c>
      <c r="Q159" s="137">
        <v>0</v>
      </c>
      <c r="R159" s="108">
        <v>0</v>
      </c>
      <c r="S159" s="166">
        <f t="shared" si="32"/>
        <v>29.62</v>
      </c>
    </row>
    <row r="160" spans="1:19" ht="16.5" customHeight="1" x14ac:dyDescent="0.25">
      <c r="A160" s="25" t="s">
        <v>93</v>
      </c>
      <c r="B160" s="199" t="s">
        <v>84</v>
      </c>
      <c r="C160" s="156">
        <v>0</v>
      </c>
      <c r="D160" s="229">
        <f>3.75</f>
        <v>3.75</v>
      </c>
      <c r="E160" s="228">
        <v>0</v>
      </c>
      <c r="F160" s="228">
        <f t="shared" si="27"/>
        <v>3.75</v>
      </c>
      <c r="G160" s="228">
        <v>0</v>
      </c>
      <c r="H160" s="228">
        <f t="shared" si="28"/>
        <v>3.75</v>
      </c>
      <c r="I160" s="228">
        <v>0</v>
      </c>
      <c r="J160" s="228">
        <v>0</v>
      </c>
      <c r="K160" s="141">
        <f t="shared" si="31"/>
        <v>3.75</v>
      </c>
      <c r="L160" s="108">
        <f>-0.77</f>
        <v>-0.77</v>
      </c>
      <c r="M160" s="137">
        <f>2.47</f>
        <v>2.4700000000000002</v>
      </c>
      <c r="N160" s="108">
        <f t="shared" si="30"/>
        <v>5.45</v>
      </c>
      <c r="O160" s="228">
        <v>0</v>
      </c>
      <c r="P160" s="137">
        <v>0</v>
      </c>
      <c r="Q160" s="137">
        <v>0</v>
      </c>
      <c r="R160" s="108">
        <v>0</v>
      </c>
      <c r="S160" s="166">
        <f t="shared" si="32"/>
        <v>5.45</v>
      </c>
    </row>
    <row r="161" spans="1:19" ht="16.5" customHeight="1" x14ac:dyDescent="0.25">
      <c r="A161" s="14" t="s">
        <v>94</v>
      </c>
      <c r="B161" s="200" t="s">
        <v>84</v>
      </c>
      <c r="C161" s="134">
        <v>0</v>
      </c>
      <c r="D161" s="185">
        <f>99.81</f>
        <v>99.81</v>
      </c>
      <c r="E161" s="144">
        <v>0</v>
      </c>
      <c r="F161" s="144">
        <f t="shared" si="27"/>
        <v>99.81</v>
      </c>
      <c r="G161" s="144">
        <v>0</v>
      </c>
      <c r="H161" s="144">
        <f t="shared" si="28"/>
        <v>99.81</v>
      </c>
      <c r="I161" s="144">
        <v>0</v>
      </c>
      <c r="J161" s="144">
        <v>0</v>
      </c>
      <c r="K161" s="152">
        <f t="shared" si="31"/>
        <v>99.81</v>
      </c>
      <c r="L161" s="102">
        <f>-48.77</f>
        <v>-48.77</v>
      </c>
      <c r="M161" s="103">
        <f>100.09</f>
        <v>100.09</v>
      </c>
      <c r="N161" s="102">
        <f t="shared" si="30"/>
        <v>151.13</v>
      </c>
      <c r="O161" s="144">
        <v>0</v>
      </c>
      <c r="P161" s="103">
        <v>0</v>
      </c>
      <c r="Q161" s="103">
        <v>0</v>
      </c>
      <c r="R161" s="102">
        <v>0</v>
      </c>
      <c r="S161" s="165">
        <f t="shared" si="32"/>
        <v>151.13</v>
      </c>
    </row>
    <row r="162" spans="1:19" ht="15" customHeight="1" x14ac:dyDescent="0.25">
      <c r="A162" s="57" t="s">
        <v>95</v>
      </c>
      <c r="B162" s="184" t="s">
        <v>36</v>
      </c>
      <c r="C162" s="134">
        <v>400</v>
      </c>
      <c r="D162" s="185">
        <v>0</v>
      </c>
      <c r="E162" s="103">
        <v>0</v>
      </c>
      <c r="F162" s="102">
        <f t="shared" si="27"/>
        <v>400</v>
      </c>
      <c r="G162" s="102">
        <v>0</v>
      </c>
      <c r="H162" s="102">
        <f t="shared" si="28"/>
        <v>400</v>
      </c>
      <c r="I162" s="102">
        <v>0</v>
      </c>
      <c r="J162" s="103">
        <v>0</v>
      </c>
      <c r="K162" s="102">
        <f t="shared" si="31"/>
        <v>400</v>
      </c>
      <c r="L162" s="102">
        <v>0</v>
      </c>
      <c r="M162" s="102">
        <v>0</v>
      </c>
      <c r="N162" s="102">
        <f t="shared" si="30"/>
        <v>400</v>
      </c>
      <c r="O162" s="103">
        <v>0</v>
      </c>
      <c r="P162" s="102">
        <v>0</v>
      </c>
      <c r="Q162" s="144">
        <v>0</v>
      </c>
      <c r="R162" s="152">
        <v>0</v>
      </c>
      <c r="S162" s="165">
        <f t="shared" si="32"/>
        <v>400</v>
      </c>
    </row>
    <row r="163" spans="1:19" ht="15" customHeight="1" x14ac:dyDescent="0.25">
      <c r="A163" s="17" t="s">
        <v>96</v>
      </c>
      <c r="B163" s="53" t="s">
        <v>36</v>
      </c>
      <c r="C163" s="158">
        <v>85</v>
      </c>
      <c r="D163" s="157">
        <v>0</v>
      </c>
      <c r="E163" s="105">
        <v>0</v>
      </c>
      <c r="F163" s="104">
        <f t="shared" si="27"/>
        <v>85</v>
      </c>
      <c r="G163" s="104">
        <v>0</v>
      </c>
      <c r="H163" s="104">
        <f t="shared" si="28"/>
        <v>85</v>
      </c>
      <c r="I163" s="104">
        <v>0</v>
      </c>
      <c r="J163" s="104">
        <v>0</v>
      </c>
      <c r="K163" s="152">
        <f t="shared" si="31"/>
        <v>85</v>
      </c>
      <c r="L163" s="104">
        <v>0</v>
      </c>
      <c r="M163" s="102">
        <v>0</v>
      </c>
      <c r="N163" s="102">
        <f t="shared" si="30"/>
        <v>85</v>
      </c>
      <c r="O163" s="104">
        <v>0</v>
      </c>
      <c r="P163" s="104">
        <v>0</v>
      </c>
      <c r="Q163" s="105">
        <v>0</v>
      </c>
      <c r="R163" s="104">
        <v>0</v>
      </c>
      <c r="S163" s="173">
        <f t="shared" si="32"/>
        <v>85</v>
      </c>
    </row>
    <row r="164" spans="1:19" ht="15" customHeight="1" x14ac:dyDescent="0.25">
      <c r="A164" s="17" t="s">
        <v>97</v>
      </c>
      <c r="B164" s="53" t="s">
        <v>98</v>
      </c>
      <c r="C164" s="158">
        <v>1350</v>
      </c>
      <c r="D164" s="157">
        <v>0</v>
      </c>
      <c r="E164" s="105">
        <v>0</v>
      </c>
      <c r="F164" s="104">
        <f t="shared" si="27"/>
        <v>1350</v>
      </c>
      <c r="G164" s="104">
        <v>0</v>
      </c>
      <c r="H164" s="104">
        <f t="shared" si="28"/>
        <v>1350</v>
      </c>
      <c r="I164" s="104">
        <v>0</v>
      </c>
      <c r="J164" s="104">
        <v>0</v>
      </c>
      <c r="K164" s="152">
        <f t="shared" si="31"/>
        <v>1350</v>
      </c>
      <c r="L164" s="114">
        <v>0</v>
      </c>
      <c r="M164" s="102">
        <v>0</v>
      </c>
      <c r="N164" s="102">
        <f t="shared" si="30"/>
        <v>1350</v>
      </c>
      <c r="O164" s="104">
        <v>0</v>
      </c>
      <c r="P164" s="104">
        <v>0</v>
      </c>
      <c r="Q164" s="105">
        <v>0</v>
      </c>
      <c r="R164" s="104">
        <v>0</v>
      </c>
      <c r="S164" s="173">
        <f t="shared" si="32"/>
        <v>1350</v>
      </c>
    </row>
    <row r="165" spans="1:19" ht="15" customHeight="1" x14ac:dyDescent="0.25">
      <c r="A165" s="17" t="s">
        <v>99</v>
      </c>
      <c r="B165" s="53" t="s">
        <v>98</v>
      </c>
      <c r="C165" s="109">
        <v>1900</v>
      </c>
      <c r="D165" s="158">
        <v>0</v>
      </c>
      <c r="E165" s="105">
        <v>0</v>
      </c>
      <c r="F165" s="104">
        <f t="shared" si="27"/>
        <v>1900</v>
      </c>
      <c r="G165" s="104">
        <v>0</v>
      </c>
      <c r="H165" s="104">
        <f t="shared" si="28"/>
        <v>1900</v>
      </c>
      <c r="I165" s="104">
        <v>0</v>
      </c>
      <c r="J165" s="104">
        <v>0</v>
      </c>
      <c r="K165" s="152">
        <f t="shared" si="31"/>
        <v>1900</v>
      </c>
      <c r="L165" s="114">
        <v>0</v>
      </c>
      <c r="M165" s="144">
        <v>0</v>
      </c>
      <c r="N165" s="102">
        <f t="shared" si="30"/>
        <v>1900</v>
      </c>
      <c r="O165" s="104">
        <v>0</v>
      </c>
      <c r="P165" s="104">
        <v>0</v>
      </c>
      <c r="Q165" s="105">
        <v>0</v>
      </c>
      <c r="R165" s="104">
        <v>0</v>
      </c>
      <c r="S165" s="173">
        <f t="shared" si="32"/>
        <v>1900</v>
      </c>
    </row>
    <row r="166" spans="1:19" ht="24" customHeight="1" x14ac:dyDescent="0.25">
      <c r="A166" s="17" t="s">
        <v>100</v>
      </c>
      <c r="B166" s="53" t="s">
        <v>98</v>
      </c>
      <c r="C166" s="109">
        <v>1750</v>
      </c>
      <c r="D166" s="158">
        <v>0</v>
      </c>
      <c r="E166" s="105">
        <v>0</v>
      </c>
      <c r="F166" s="104">
        <f t="shared" si="27"/>
        <v>1750</v>
      </c>
      <c r="G166" s="104">
        <v>0</v>
      </c>
      <c r="H166" s="104">
        <f t="shared" si="28"/>
        <v>1750</v>
      </c>
      <c r="I166" s="104">
        <v>0</v>
      </c>
      <c r="J166" s="104">
        <v>0</v>
      </c>
      <c r="K166" s="114">
        <f t="shared" si="31"/>
        <v>1750</v>
      </c>
      <c r="L166" s="114">
        <v>0</v>
      </c>
      <c r="M166" s="103">
        <v>0</v>
      </c>
      <c r="N166" s="102">
        <f t="shared" si="30"/>
        <v>1750</v>
      </c>
      <c r="O166" s="104">
        <v>0</v>
      </c>
      <c r="P166" s="104">
        <v>0</v>
      </c>
      <c r="Q166" s="105">
        <v>0</v>
      </c>
      <c r="R166" s="104">
        <v>0</v>
      </c>
      <c r="S166" s="173">
        <f t="shared" si="32"/>
        <v>1750</v>
      </c>
    </row>
    <row r="167" spans="1:19" ht="39" customHeight="1" x14ac:dyDescent="0.25">
      <c r="A167" s="33" t="s">
        <v>101</v>
      </c>
      <c r="B167" s="53" t="s">
        <v>36</v>
      </c>
      <c r="C167" s="109">
        <v>700</v>
      </c>
      <c r="D167" s="109">
        <v>0</v>
      </c>
      <c r="E167" s="105">
        <v>0</v>
      </c>
      <c r="F167" s="104">
        <f t="shared" si="27"/>
        <v>700</v>
      </c>
      <c r="G167" s="104">
        <v>0</v>
      </c>
      <c r="H167" s="104">
        <f t="shared" si="28"/>
        <v>700</v>
      </c>
      <c r="I167" s="104">
        <v>0</v>
      </c>
      <c r="J167" s="104">
        <v>0</v>
      </c>
      <c r="K167" s="144">
        <f t="shared" si="31"/>
        <v>700</v>
      </c>
      <c r="L167" s="104">
        <v>0</v>
      </c>
      <c r="M167" s="103">
        <v>0</v>
      </c>
      <c r="N167" s="102">
        <f t="shared" si="30"/>
        <v>700</v>
      </c>
      <c r="O167" s="104">
        <v>0</v>
      </c>
      <c r="P167" s="104">
        <v>0</v>
      </c>
      <c r="Q167" s="105">
        <v>0</v>
      </c>
      <c r="R167" s="104">
        <v>0</v>
      </c>
      <c r="S167" s="173">
        <f t="shared" si="32"/>
        <v>700</v>
      </c>
    </row>
    <row r="168" spans="1:19" ht="21.75" customHeight="1" x14ac:dyDescent="0.25">
      <c r="A168" s="17" t="s">
        <v>103</v>
      </c>
      <c r="B168" s="53" t="s">
        <v>36</v>
      </c>
      <c r="C168" s="109">
        <v>50</v>
      </c>
      <c r="D168" s="109">
        <v>0</v>
      </c>
      <c r="E168" s="105">
        <v>0</v>
      </c>
      <c r="F168" s="104">
        <f t="shared" si="27"/>
        <v>50</v>
      </c>
      <c r="G168" s="104">
        <v>0</v>
      </c>
      <c r="H168" s="104">
        <f t="shared" si="28"/>
        <v>50</v>
      </c>
      <c r="I168" s="104">
        <v>0</v>
      </c>
      <c r="J168" s="104">
        <v>0</v>
      </c>
      <c r="K168" s="144">
        <f t="shared" si="31"/>
        <v>50</v>
      </c>
      <c r="L168" s="104">
        <v>0</v>
      </c>
      <c r="M168" s="103">
        <v>0</v>
      </c>
      <c r="N168" s="102">
        <f t="shared" si="30"/>
        <v>50</v>
      </c>
      <c r="O168" s="104">
        <v>0</v>
      </c>
      <c r="P168" s="104">
        <v>0</v>
      </c>
      <c r="Q168" s="105">
        <v>0</v>
      </c>
      <c r="R168" s="104">
        <v>0</v>
      </c>
      <c r="S168" s="173">
        <f t="shared" si="32"/>
        <v>50</v>
      </c>
    </row>
    <row r="169" spans="1:19" ht="30" customHeight="1" x14ac:dyDescent="0.25">
      <c r="A169" s="17" t="s">
        <v>104</v>
      </c>
      <c r="B169" s="53" t="s">
        <v>36</v>
      </c>
      <c r="C169" s="109">
        <v>2000</v>
      </c>
      <c r="D169" s="109">
        <v>0</v>
      </c>
      <c r="E169" s="105">
        <v>0</v>
      </c>
      <c r="F169" s="104">
        <f t="shared" si="27"/>
        <v>2000</v>
      </c>
      <c r="G169" s="104">
        <v>0</v>
      </c>
      <c r="H169" s="104">
        <f t="shared" si="28"/>
        <v>2000</v>
      </c>
      <c r="I169" s="104">
        <v>0</v>
      </c>
      <c r="J169" s="104">
        <v>0</v>
      </c>
      <c r="K169" s="144">
        <f t="shared" si="31"/>
        <v>2000</v>
      </c>
      <c r="L169" s="104">
        <v>0</v>
      </c>
      <c r="M169" s="103">
        <v>0</v>
      </c>
      <c r="N169" s="102">
        <f t="shared" si="30"/>
        <v>2000</v>
      </c>
      <c r="O169" s="104">
        <v>0</v>
      </c>
      <c r="P169" s="104">
        <v>0</v>
      </c>
      <c r="Q169" s="105">
        <v>0</v>
      </c>
      <c r="R169" s="104">
        <v>0</v>
      </c>
      <c r="S169" s="173">
        <f t="shared" ref="S169:S185" si="33">SUM(N169:R169)</f>
        <v>2000</v>
      </c>
    </row>
    <row r="170" spans="1:19" ht="22.5" customHeight="1" x14ac:dyDescent="0.25">
      <c r="A170" s="17" t="s">
        <v>105</v>
      </c>
      <c r="B170" s="53" t="s">
        <v>36</v>
      </c>
      <c r="C170" s="109">
        <v>1700</v>
      </c>
      <c r="D170" s="109">
        <v>0</v>
      </c>
      <c r="E170" s="105">
        <v>0</v>
      </c>
      <c r="F170" s="104">
        <f t="shared" si="27"/>
        <v>1700</v>
      </c>
      <c r="G170" s="104">
        <v>0</v>
      </c>
      <c r="H170" s="104">
        <f t="shared" si="28"/>
        <v>1700</v>
      </c>
      <c r="I170" s="104">
        <v>0</v>
      </c>
      <c r="J170" s="104">
        <v>0</v>
      </c>
      <c r="K170" s="144">
        <f t="shared" si="31"/>
        <v>1700</v>
      </c>
      <c r="L170" s="104">
        <v>0</v>
      </c>
      <c r="M170" s="103">
        <v>0</v>
      </c>
      <c r="N170" s="102">
        <f t="shared" si="30"/>
        <v>1700</v>
      </c>
      <c r="O170" s="104">
        <v>0</v>
      </c>
      <c r="P170" s="104">
        <v>0</v>
      </c>
      <c r="Q170" s="105">
        <v>0</v>
      </c>
      <c r="R170" s="104">
        <v>0</v>
      </c>
      <c r="S170" s="173">
        <f t="shared" si="33"/>
        <v>1700</v>
      </c>
    </row>
    <row r="171" spans="1:19" ht="28.5" customHeight="1" x14ac:dyDescent="0.25">
      <c r="A171" s="17" t="s">
        <v>106</v>
      </c>
      <c r="B171" s="53" t="s">
        <v>36</v>
      </c>
      <c r="C171" s="109">
        <v>85</v>
      </c>
      <c r="D171" s="109">
        <v>0</v>
      </c>
      <c r="E171" s="105">
        <v>0</v>
      </c>
      <c r="F171" s="104">
        <f t="shared" si="27"/>
        <v>85</v>
      </c>
      <c r="G171" s="104">
        <v>0</v>
      </c>
      <c r="H171" s="104">
        <f t="shared" si="28"/>
        <v>85</v>
      </c>
      <c r="I171" s="104">
        <v>0</v>
      </c>
      <c r="J171" s="104">
        <v>0</v>
      </c>
      <c r="K171" s="144">
        <f t="shared" si="31"/>
        <v>85</v>
      </c>
      <c r="L171" s="104">
        <v>0</v>
      </c>
      <c r="M171" s="103">
        <v>0</v>
      </c>
      <c r="N171" s="102">
        <f t="shared" si="30"/>
        <v>85</v>
      </c>
      <c r="O171" s="104">
        <v>0</v>
      </c>
      <c r="P171" s="104">
        <v>0</v>
      </c>
      <c r="Q171" s="105">
        <v>0</v>
      </c>
      <c r="R171" s="104">
        <v>0</v>
      </c>
      <c r="S171" s="173">
        <f t="shared" si="33"/>
        <v>85</v>
      </c>
    </row>
    <row r="172" spans="1:19" ht="24.75" customHeight="1" x14ac:dyDescent="0.25">
      <c r="A172" s="17" t="s">
        <v>107</v>
      </c>
      <c r="B172" s="53" t="s">
        <v>36</v>
      </c>
      <c r="C172" s="109">
        <v>80</v>
      </c>
      <c r="D172" s="109">
        <v>0</v>
      </c>
      <c r="E172" s="105">
        <v>0</v>
      </c>
      <c r="F172" s="104">
        <f t="shared" si="27"/>
        <v>80</v>
      </c>
      <c r="G172" s="104">
        <v>0</v>
      </c>
      <c r="H172" s="104">
        <f t="shared" si="28"/>
        <v>80</v>
      </c>
      <c r="I172" s="104">
        <v>0</v>
      </c>
      <c r="J172" s="104">
        <v>0</v>
      </c>
      <c r="K172" s="144">
        <f t="shared" si="31"/>
        <v>80</v>
      </c>
      <c r="L172" s="104">
        <v>0</v>
      </c>
      <c r="M172" s="103">
        <v>0</v>
      </c>
      <c r="N172" s="102">
        <f t="shared" si="30"/>
        <v>80</v>
      </c>
      <c r="O172" s="104">
        <v>0</v>
      </c>
      <c r="P172" s="104">
        <v>0</v>
      </c>
      <c r="Q172" s="105">
        <v>0</v>
      </c>
      <c r="R172" s="104">
        <v>0</v>
      </c>
      <c r="S172" s="173">
        <f t="shared" si="33"/>
        <v>80</v>
      </c>
    </row>
    <row r="173" spans="1:19" ht="26.25" customHeight="1" x14ac:dyDescent="0.25">
      <c r="A173" s="17" t="s">
        <v>108</v>
      </c>
      <c r="B173" s="53" t="s">
        <v>36</v>
      </c>
      <c r="C173" s="109">
        <v>1570</v>
      </c>
      <c r="D173" s="109">
        <v>0</v>
      </c>
      <c r="E173" s="105">
        <v>0</v>
      </c>
      <c r="F173" s="104">
        <f t="shared" si="27"/>
        <v>1570</v>
      </c>
      <c r="G173" s="104">
        <v>0</v>
      </c>
      <c r="H173" s="104">
        <f t="shared" si="28"/>
        <v>1570</v>
      </c>
      <c r="I173" s="104">
        <v>0</v>
      </c>
      <c r="J173" s="104">
        <v>0</v>
      </c>
      <c r="K173" s="144">
        <f t="shared" si="31"/>
        <v>1570</v>
      </c>
      <c r="L173" s="104">
        <v>0</v>
      </c>
      <c r="M173" s="103">
        <v>0</v>
      </c>
      <c r="N173" s="102">
        <f t="shared" si="30"/>
        <v>1570</v>
      </c>
      <c r="O173" s="104">
        <v>0</v>
      </c>
      <c r="P173" s="104">
        <v>0</v>
      </c>
      <c r="Q173" s="105">
        <v>0</v>
      </c>
      <c r="R173" s="104">
        <v>0</v>
      </c>
      <c r="S173" s="173">
        <f t="shared" si="33"/>
        <v>1570</v>
      </c>
    </row>
    <row r="174" spans="1:19" ht="26.25" customHeight="1" x14ac:dyDescent="0.25">
      <c r="A174" s="17" t="s">
        <v>109</v>
      </c>
      <c r="B174" s="53" t="s">
        <v>36</v>
      </c>
      <c r="C174" s="109">
        <v>1570</v>
      </c>
      <c r="D174" s="109">
        <v>0</v>
      </c>
      <c r="E174" s="105">
        <v>0</v>
      </c>
      <c r="F174" s="104">
        <f t="shared" si="27"/>
        <v>1570</v>
      </c>
      <c r="G174" s="104">
        <v>0</v>
      </c>
      <c r="H174" s="104">
        <f t="shared" si="28"/>
        <v>1570</v>
      </c>
      <c r="I174" s="104">
        <v>0</v>
      </c>
      <c r="J174" s="104">
        <v>0</v>
      </c>
      <c r="K174" s="144">
        <f t="shared" si="31"/>
        <v>1570</v>
      </c>
      <c r="L174" s="104">
        <v>0</v>
      </c>
      <c r="M174" s="103">
        <v>0</v>
      </c>
      <c r="N174" s="102">
        <f t="shared" si="30"/>
        <v>1570</v>
      </c>
      <c r="O174" s="104">
        <v>0</v>
      </c>
      <c r="P174" s="104">
        <v>0</v>
      </c>
      <c r="Q174" s="105">
        <v>0</v>
      </c>
      <c r="R174" s="104">
        <v>0</v>
      </c>
      <c r="S174" s="173">
        <f t="shared" si="33"/>
        <v>1570</v>
      </c>
    </row>
    <row r="175" spans="1:19" ht="27" customHeight="1" x14ac:dyDescent="0.25">
      <c r="A175" s="17" t="s">
        <v>110</v>
      </c>
      <c r="B175" s="53" t="s">
        <v>36</v>
      </c>
      <c r="C175" s="109">
        <v>500</v>
      </c>
      <c r="D175" s="109">
        <v>0</v>
      </c>
      <c r="E175" s="105">
        <v>0</v>
      </c>
      <c r="F175" s="104">
        <f t="shared" si="27"/>
        <v>500</v>
      </c>
      <c r="G175" s="104">
        <v>0</v>
      </c>
      <c r="H175" s="104">
        <f t="shared" si="28"/>
        <v>500</v>
      </c>
      <c r="I175" s="104">
        <v>0</v>
      </c>
      <c r="J175" s="104">
        <v>0</v>
      </c>
      <c r="K175" s="144">
        <f t="shared" si="31"/>
        <v>500</v>
      </c>
      <c r="L175" s="104">
        <v>0</v>
      </c>
      <c r="M175" s="103">
        <v>0</v>
      </c>
      <c r="N175" s="102">
        <f t="shared" si="30"/>
        <v>500</v>
      </c>
      <c r="O175" s="104">
        <v>0</v>
      </c>
      <c r="P175" s="104">
        <v>0</v>
      </c>
      <c r="Q175" s="105">
        <v>0</v>
      </c>
      <c r="R175" s="104">
        <v>0</v>
      </c>
      <c r="S175" s="173">
        <f t="shared" si="33"/>
        <v>500</v>
      </c>
    </row>
    <row r="176" spans="1:19" ht="15" customHeight="1" x14ac:dyDescent="0.25">
      <c r="A176" s="54" t="s">
        <v>111</v>
      </c>
      <c r="B176" s="53" t="s">
        <v>112</v>
      </c>
      <c r="C176" s="109">
        <v>250</v>
      </c>
      <c r="D176" s="109">
        <v>0</v>
      </c>
      <c r="E176" s="105">
        <v>0</v>
      </c>
      <c r="F176" s="104">
        <f t="shared" si="27"/>
        <v>250</v>
      </c>
      <c r="G176" s="104">
        <v>0</v>
      </c>
      <c r="H176" s="104">
        <f t="shared" ref="H176:H252" si="34">SUM(F176:G176)</f>
        <v>250</v>
      </c>
      <c r="I176" s="104">
        <v>0</v>
      </c>
      <c r="J176" s="104">
        <v>0</v>
      </c>
      <c r="K176" s="144">
        <f t="shared" si="31"/>
        <v>250</v>
      </c>
      <c r="L176" s="104">
        <v>0</v>
      </c>
      <c r="M176" s="103">
        <v>0</v>
      </c>
      <c r="N176" s="102">
        <f t="shared" si="30"/>
        <v>250</v>
      </c>
      <c r="O176" s="104">
        <v>0</v>
      </c>
      <c r="P176" s="104">
        <v>0</v>
      </c>
      <c r="Q176" s="105">
        <v>0</v>
      </c>
      <c r="R176" s="104">
        <v>0</v>
      </c>
      <c r="S176" s="173">
        <f t="shared" si="33"/>
        <v>250</v>
      </c>
    </row>
    <row r="177" spans="1:20" ht="15.75" customHeight="1" x14ac:dyDescent="0.25">
      <c r="A177" s="54" t="s">
        <v>113</v>
      </c>
      <c r="B177" s="53" t="s">
        <v>114</v>
      </c>
      <c r="C177" s="109">
        <v>500</v>
      </c>
      <c r="D177" s="109">
        <v>0</v>
      </c>
      <c r="E177" s="105">
        <v>0</v>
      </c>
      <c r="F177" s="104">
        <f t="shared" si="27"/>
        <v>500</v>
      </c>
      <c r="G177" s="104">
        <v>0</v>
      </c>
      <c r="H177" s="104">
        <f t="shared" si="34"/>
        <v>500</v>
      </c>
      <c r="I177" s="104">
        <v>0</v>
      </c>
      <c r="J177" s="104">
        <v>0</v>
      </c>
      <c r="K177" s="144">
        <f t="shared" si="31"/>
        <v>500</v>
      </c>
      <c r="L177" s="104">
        <v>0</v>
      </c>
      <c r="M177" s="103">
        <v>0</v>
      </c>
      <c r="N177" s="102">
        <f t="shared" si="30"/>
        <v>500</v>
      </c>
      <c r="O177" s="104">
        <v>0</v>
      </c>
      <c r="P177" s="104">
        <v>0</v>
      </c>
      <c r="Q177" s="105">
        <v>0</v>
      </c>
      <c r="R177" s="104">
        <v>0</v>
      </c>
      <c r="S177" s="173">
        <f t="shared" si="33"/>
        <v>500</v>
      </c>
    </row>
    <row r="178" spans="1:20" ht="16.5" customHeight="1" x14ac:dyDescent="0.25">
      <c r="A178" s="54" t="s">
        <v>115</v>
      </c>
      <c r="B178" s="53" t="s">
        <v>116</v>
      </c>
      <c r="C178" s="109">
        <v>50</v>
      </c>
      <c r="D178" s="109">
        <v>0</v>
      </c>
      <c r="E178" s="105">
        <v>0</v>
      </c>
      <c r="F178" s="104">
        <f t="shared" si="27"/>
        <v>50</v>
      </c>
      <c r="G178" s="104">
        <v>0</v>
      </c>
      <c r="H178" s="104">
        <f t="shared" si="34"/>
        <v>50</v>
      </c>
      <c r="I178" s="104">
        <v>0</v>
      </c>
      <c r="J178" s="104">
        <v>0</v>
      </c>
      <c r="K178" s="144">
        <f t="shared" si="31"/>
        <v>50</v>
      </c>
      <c r="L178" s="104">
        <v>0</v>
      </c>
      <c r="M178" s="103">
        <v>0</v>
      </c>
      <c r="N178" s="102">
        <f t="shared" si="30"/>
        <v>50</v>
      </c>
      <c r="O178" s="104">
        <v>0</v>
      </c>
      <c r="P178" s="104">
        <v>0</v>
      </c>
      <c r="Q178" s="105">
        <v>0</v>
      </c>
      <c r="R178" s="104">
        <v>0</v>
      </c>
      <c r="S178" s="173">
        <f t="shared" si="33"/>
        <v>50</v>
      </c>
    </row>
    <row r="179" spans="1:20" x14ac:dyDescent="0.25">
      <c r="A179" s="54" t="s">
        <v>117</v>
      </c>
      <c r="B179" s="53" t="s">
        <v>114</v>
      </c>
      <c r="C179" s="109">
        <v>1200</v>
      </c>
      <c r="D179" s="109">
        <v>0</v>
      </c>
      <c r="E179" s="105">
        <v>0</v>
      </c>
      <c r="F179" s="104">
        <f t="shared" ref="F179:F184" si="35">SUM(C179:E179)</f>
        <v>1200</v>
      </c>
      <c r="G179" s="104">
        <v>0</v>
      </c>
      <c r="H179" s="104">
        <f t="shared" si="34"/>
        <v>1200</v>
      </c>
      <c r="I179" s="104">
        <v>0</v>
      </c>
      <c r="J179" s="104">
        <v>0</v>
      </c>
      <c r="K179" s="144">
        <f t="shared" si="31"/>
        <v>1200</v>
      </c>
      <c r="L179" s="104">
        <v>0</v>
      </c>
      <c r="M179" s="103">
        <v>0</v>
      </c>
      <c r="N179" s="102">
        <f t="shared" si="30"/>
        <v>1200</v>
      </c>
      <c r="O179" s="104">
        <v>0</v>
      </c>
      <c r="P179" s="104">
        <v>0</v>
      </c>
      <c r="Q179" s="105">
        <v>0</v>
      </c>
      <c r="R179" s="104">
        <v>0</v>
      </c>
      <c r="S179" s="173">
        <f t="shared" si="33"/>
        <v>1200</v>
      </c>
    </row>
    <row r="180" spans="1:20" ht="25.5" x14ac:dyDescent="0.25">
      <c r="A180" s="17" t="s">
        <v>371</v>
      </c>
      <c r="B180" s="53" t="s">
        <v>98</v>
      </c>
      <c r="C180" s="109">
        <v>0</v>
      </c>
      <c r="D180" s="109"/>
      <c r="E180" s="105"/>
      <c r="F180" s="104"/>
      <c r="G180" s="104"/>
      <c r="H180" s="104"/>
      <c r="I180" s="104"/>
      <c r="J180" s="104"/>
      <c r="K180" s="144">
        <f>30</f>
        <v>30</v>
      </c>
      <c r="L180" s="104">
        <v>0</v>
      </c>
      <c r="M180" s="103">
        <v>0</v>
      </c>
      <c r="N180" s="102">
        <f t="shared" si="30"/>
        <v>30</v>
      </c>
      <c r="O180" s="104">
        <v>0</v>
      </c>
      <c r="P180" s="104">
        <v>0</v>
      </c>
      <c r="Q180" s="105">
        <v>0</v>
      </c>
      <c r="R180" s="104">
        <v>0</v>
      </c>
      <c r="S180" s="173">
        <f t="shared" si="33"/>
        <v>30</v>
      </c>
    </row>
    <row r="181" spans="1:20" ht="14.25" customHeight="1" x14ac:dyDescent="0.25">
      <c r="A181" s="17" t="s">
        <v>118</v>
      </c>
      <c r="B181" s="53" t="s">
        <v>119</v>
      </c>
      <c r="C181" s="109">
        <v>650</v>
      </c>
      <c r="D181" s="109">
        <v>0</v>
      </c>
      <c r="E181" s="105">
        <v>0</v>
      </c>
      <c r="F181" s="104">
        <f t="shared" si="35"/>
        <v>650</v>
      </c>
      <c r="G181" s="104">
        <v>0</v>
      </c>
      <c r="H181" s="104">
        <f t="shared" si="34"/>
        <v>650</v>
      </c>
      <c r="I181" s="104">
        <v>0</v>
      </c>
      <c r="J181" s="104">
        <v>0</v>
      </c>
      <c r="K181" s="144">
        <f t="shared" si="31"/>
        <v>650</v>
      </c>
      <c r="L181" s="104">
        <v>0</v>
      </c>
      <c r="M181" s="103">
        <v>0</v>
      </c>
      <c r="N181" s="102">
        <f t="shared" si="30"/>
        <v>650</v>
      </c>
      <c r="O181" s="104">
        <v>0</v>
      </c>
      <c r="P181" s="104">
        <v>0</v>
      </c>
      <c r="Q181" s="105">
        <v>0</v>
      </c>
      <c r="R181" s="104">
        <v>0</v>
      </c>
      <c r="S181" s="173">
        <f t="shared" si="33"/>
        <v>650</v>
      </c>
    </row>
    <row r="182" spans="1:20" ht="27" customHeight="1" x14ac:dyDescent="0.25">
      <c r="A182" s="61" t="s">
        <v>120</v>
      </c>
      <c r="B182" s="53" t="s">
        <v>36</v>
      </c>
      <c r="C182" s="109">
        <v>1570</v>
      </c>
      <c r="D182" s="109">
        <v>0</v>
      </c>
      <c r="E182" s="105">
        <v>0</v>
      </c>
      <c r="F182" s="104">
        <f t="shared" si="35"/>
        <v>1570</v>
      </c>
      <c r="G182" s="104">
        <v>0</v>
      </c>
      <c r="H182" s="104">
        <f t="shared" si="34"/>
        <v>1570</v>
      </c>
      <c r="I182" s="104">
        <v>0</v>
      </c>
      <c r="J182" s="104">
        <v>0</v>
      </c>
      <c r="K182" s="144">
        <f t="shared" si="31"/>
        <v>1570</v>
      </c>
      <c r="L182" s="104">
        <v>0</v>
      </c>
      <c r="M182" s="103">
        <v>0</v>
      </c>
      <c r="N182" s="102">
        <f t="shared" si="30"/>
        <v>1570</v>
      </c>
      <c r="O182" s="104">
        <v>0</v>
      </c>
      <c r="P182" s="104">
        <v>0</v>
      </c>
      <c r="Q182" s="105">
        <v>0</v>
      </c>
      <c r="R182" s="104">
        <v>0</v>
      </c>
      <c r="S182" s="173">
        <f t="shared" si="33"/>
        <v>1570</v>
      </c>
    </row>
    <row r="183" spans="1:20" ht="24" customHeight="1" x14ac:dyDescent="0.25">
      <c r="A183" s="61" t="s">
        <v>121</v>
      </c>
      <c r="B183" s="53" t="s">
        <v>36</v>
      </c>
      <c r="C183" s="109">
        <v>1570</v>
      </c>
      <c r="D183" s="109">
        <v>0</v>
      </c>
      <c r="E183" s="105">
        <v>0</v>
      </c>
      <c r="F183" s="104">
        <f t="shared" si="35"/>
        <v>1570</v>
      </c>
      <c r="G183" s="104">
        <v>0</v>
      </c>
      <c r="H183" s="104">
        <f t="shared" si="34"/>
        <v>1570</v>
      </c>
      <c r="I183" s="104">
        <v>0</v>
      </c>
      <c r="J183" s="104">
        <v>0</v>
      </c>
      <c r="K183" s="144">
        <f t="shared" si="31"/>
        <v>1570</v>
      </c>
      <c r="L183" s="104">
        <v>0</v>
      </c>
      <c r="M183" s="103">
        <v>0</v>
      </c>
      <c r="N183" s="102">
        <f t="shared" si="30"/>
        <v>1570</v>
      </c>
      <c r="O183" s="104">
        <v>0</v>
      </c>
      <c r="P183" s="104">
        <v>0</v>
      </c>
      <c r="Q183" s="105">
        <v>0</v>
      </c>
      <c r="R183" s="104">
        <v>0</v>
      </c>
      <c r="S183" s="173">
        <f t="shared" si="33"/>
        <v>1570</v>
      </c>
    </row>
    <row r="184" spans="1:20" ht="15.75" customHeight="1" thickBot="1" x14ac:dyDescent="0.3">
      <c r="A184" s="55" t="s">
        <v>122</v>
      </c>
      <c r="B184" s="45"/>
      <c r="C184" s="106">
        <v>56026.34</v>
      </c>
      <c r="D184" s="106">
        <f>-130+344.28</f>
        <v>214.27999999999997</v>
      </c>
      <c r="E184" s="107">
        <v>-7658.5</v>
      </c>
      <c r="F184" s="106">
        <f t="shared" si="35"/>
        <v>48582.119999999995</v>
      </c>
      <c r="G184" s="106">
        <f>-100-100-5</f>
        <v>-205</v>
      </c>
      <c r="H184" s="106">
        <f t="shared" si="34"/>
        <v>48377.119999999995</v>
      </c>
      <c r="I184" s="106">
        <v>-328</v>
      </c>
      <c r="J184" s="106">
        <f>116.06-9000-220</f>
        <v>-9103.94</v>
      </c>
      <c r="K184" s="113">
        <f>SUM(H184:J184)-30</f>
        <v>38915.179999999993</v>
      </c>
      <c r="L184" s="106">
        <f>-784.94</f>
        <v>-784.94</v>
      </c>
      <c r="M184" s="107">
        <f>-900+57.88</f>
        <v>-842.12</v>
      </c>
      <c r="N184" s="106">
        <f t="shared" si="30"/>
        <v>37288.119999999988</v>
      </c>
      <c r="O184" s="106">
        <v>0</v>
      </c>
      <c r="P184" s="106">
        <f>29.6</f>
        <v>29.6</v>
      </c>
      <c r="Q184" s="107">
        <f>-6838.48</f>
        <v>-6838.48</v>
      </c>
      <c r="R184" s="106">
        <v>0</v>
      </c>
      <c r="S184" s="182">
        <f t="shared" si="33"/>
        <v>30479.239999999987</v>
      </c>
    </row>
    <row r="185" spans="1:20" ht="16.5" customHeight="1" thickBot="1" x14ac:dyDescent="0.3">
      <c r="A185" s="56" t="s">
        <v>123</v>
      </c>
      <c r="B185" s="50"/>
      <c r="C185" s="42">
        <f t="shared" ref="C185:J185" si="36">SUM(C187:C198)</f>
        <v>325128</v>
      </c>
      <c r="D185" s="42">
        <f t="shared" si="36"/>
        <v>47.550000000000004</v>
      </c>
      <c r="E185" s="88">
        <f t="shared" si="36"/>
        <v>17777.62</v>
      </c>
      <c r="F185" s="42">
        <f t="shared" si="36"/>
        <v>342953.17</v>
      </c>
      <c r="G185" s="42">
        <f t="shared" si="36"/>
        <v>9.11</v>
      </c>
      <c r="H185" s="42">
        <f t="shared" si="36"/>
        <v>344143.28</v>
      </c>
      <c r="I185" s="42">
        <f t="shared" si="36"/>
        <v>11500</v>
      </c>
      <c r="J185" s="42">
        <f t="shared" si="36"/>
        <v>-11218</v>
      </c>
      <c r="K185" s="150">
        <f>SUM(K187:K198)</f>
        <v>344425.28</v>
      </c>
      <c r="L185" s="123">
        <f>SUM(L187:L198)</f>
        <v>1500</v>
      </c>
      <c r="M185" s="124">
        <f>SUM(M187:M198)</f>
        <v>0</v>
      </c>
      <c r="N185" s="123">
        <f t="shared" si="30"/>
        <v>345925.28</v>
      </c>
      <c r="O185" s="123">
        <f>SUM(O187:O198)</f>
        <v>0</v>
      </c>
      <c r="P185" s="123">
        <f>SUM(P187:P198)</f>
        <v>-2454</v>
      </c>
      <c r="Q185" s="124">
        <f>SUM(Q187:Q198)</f>
        <v>-7050</v>
      </c>
      <c r="R185" s="123">
        <f>SUM(R187:R198)</f>
        <v>5.7999999999999545</v>
      </c>
      <c r="S185" s="172">
        <f t="shared" si="33"/>
        <v>336427.08</v>
      </c>
      <c r="T185" s="122"/>
    </row>
    <row r="186" spans="1:20" ht="12.75" customHeight="1" x14ac:dyDescent="0.25">
      <c r="A186" s="57" t="s">
        <v>27</v>
      </c>
      <c r="B186" s="47"/>
      <c r="C186" s="16"/>
      <c r="D186" s="16"/>
      <c r="E186" s="82"/>
      <c r="F186" s="16"/>
      <c r="G186" s="16"/>
      <c r="H186" s="102"/>
      <c r="I186" s="102"/>
      <c r="J186" s="102"/>
      <c r="K186" s="144"/>
      <c r="L186" s="102"/>
      <c r="M186" s="103"/>
      <c r="N186" s="102"/>
      <c r="O186" s="102"/>
      <c r="P186" s="102"/>
      <c r="Q186" s="103"/>
      <c r="R186" s="102"/>
      <c r="S186" s="165"/>
    </row>
    <row r="187" spans="1:20" ht="15" customHeight="1" x14ac:dyDescent="0.25">
      <c r="A187" s="54" t="s">
        <v>30</v>
      </c>
      <c r="B187" s="49"/>
      <c r="C187" s="104">
        <v>71786</v>
      </c>
      <c r="D187" s="104">
        <f>45.24+2.31</f>
        <v>47.550000000000004</v>
      </c>
      <c r="E187" s="105">
        <v>10512</v>
      </c>
      <c r="F187" s="104">
        <f>SUM(C187:E187)</f>
        <v>82345.55</v>
      </c>
      <c r="G187" s="104">
        <f>9.11</f>
        <v>9.11</v>
      </c>
      <c r="H187" s="104">
        <f>SUM(F187:G187)+1181</f>
        <v>83535.66</v>
      </c>
      <c r="I187" s="104">
        <v>11500</v>
      </c>
      <c r="J187" s="104">
        <f>282-11500</f>
        <v>-11218</v>
      </c>
      <c r="K187" s="144">
        <f>SUM(H187:J187)+100</f>
        <v>83917.66</v>
      </c>
      <c r="L187" s="104">
        <v>0</v>
      </c>
      <c r="M187" s="103">
        <v>0</v>
      </c>
      <c r="N187" s="102">
        <f t="shared" si="30"/>
        <v>83917.66</v>
      </c>
      <c r="O187" s="104">
        <v>0</v>
      </c>
      <c r="P187" s="104">
        <f>-448</f>
        <v>-448</v>
      </c>
      <c r="Q187" s="105">
        <f>-3200</f>
        <v>-3200</v>
      </c>
      <c r="R187" s="104">
        <f>-1832.2</f>
        <v>-1832.2</v>
      </c>
      <c r="S187" s="173">
        <f t="shared" ref="S187:S199" si="37">SUM(N187:R187)</f>
        <v>78437.460000000006</v>
      </c>
    </row>
    <row r="188" spans="1:20" ht="15" customHeight="1" x14ac:dyDescent="0.25">
      <c r="A188" s="54" t="s">
        <v>124</v>
      </c>
      <c r="B188" s="53" t="s">
        <v>36</v>
      </c>
      <c r="C188" s="104">
        <v>132500</v>
      </c>
      <c r="D188" s="104">
        <v>0</v>
      </c>
      <c r="E188" s="105">
        <v>-132500</v>
      </c>
      <c r="F188" s="104">
        <f t="shared" ref="F188:F198" si="38">SUM(C188:E188)</f>
        <v>0</v>
      </c>
      <c r="G188" s="104">
        <v>0</v>
      </c>
      <c r="H188" s="104">
        <f t="shared" si="34"/>
        <v>0</v>
      </c>
      <c r="I188" s="104">
        <v>0</v>
      </c>
      <c r="J188" s="104">
        <v>0</v>
      </c>
      <c r="K188" s="115">
        <f t="shared" si="31"/>
        <v>0</v>
      </c>
      <c r="L188" s="104">
        <v>0</v>
      </c>
      <c r="M188" s="103">
        <v>0</v>
      </c>
      <c r="N188" s="102">
        <f t="shared" si="30"/>
        <v>0</v>
      </c>
      <c r="O188" s="104">
        <v>0</v>
      </c>
      <c r="P188" s="104">
        <v>0</v>
      </c>
      <c r="Q188" s="105">
        <v>0</v>
      </c>
      <c r="R188" s="104">
        <v>0</v>
      </c>
      <c r="S188" s="173">
        <f t="shared" si="37"/>
        <v>0</v>
      </c>
    </row>
    <row r="189" spans="1:20" ht="15" customHeight="1" x14ac:dyDescent="0.25">
      <c r="A189" s="54" t="s">
        <v>125</v>
      </c>
      <c r="B189" s="53" t="s">
        <v>36</v>
      </c>
      <c r="C189" s="104">
        <v>25000</v>
      </c>
      <c r="D189" s="104">
        <v>0</v>
      </c>
      <c r="E189" s="105">
        <v>-25000</v>
      </c>
      <c r="F189" s="104">
        <f t="shared" si="38"/>
        <v>0</v>
      </c>
      <c r="G189" s="104">
        <v>0</v>
      </c>
      <c r="H189" s="104">
        <f t="shared" si="34"/>
        <v>0</v>
      </c>
      <c r="I189" s="104">
        <v>0</v>
      </c>
      <c r="J189" s="104">
        <v>0</v>
      </c>
      <c r="K189" s="144">
        <f t="shared" si="31"/>
        <v>0</v>
      </c>
      <c r="L189" s="104">
        <v>0</v>
      </c>
      <c r="M189" s="103">
        <v>0</v>
      </c>
      <c r="N189" s="102">
        <f t="shared" ref="N189:N254" si="39">SUM(K189:M189)</f>
        <v>0</v>
      </c>
      <c r="O189" s="104">
        <v>0</v>
      </c>
      <c r="P189" s="104">
        <v>0</v>
      </c>
      <c r="Q189" s="105">
        <v>0</v>
      </c>
      <c r="R189" s="104">
        <v>0</v>
      </c>
      <c r="S189" s="173">
        <f t="shared" si="37"/>
        <v>0</v>
      </c>
    </row>
    <row r="190" spans="1:20" ht="15" customHeight="1" x14ac:dyDescent="0.25">
      <c r="A190" s="54" t="s">
        <v>272</v>
      </c>
      <c r="B190" s="53" t="s">
        <v>36</v>
      </c>
      <c r="C190" s="104">
        <v>0</v>
      </c>
      <c r="D190" s="104">
        <v>0</v>
      </c>
      <c r="E190" s="105">
        <v>137700</v>
      </c>
      <c r="F190" s="104">
        <f t="shared" si="38"/>
        <v>137700</v>
      </c>
      <c r="G190" s="104">
        <v>0</v>
      </c>
      <c r="H190" s="104">
        <f t="shared" si="34"/>
        <v>137700</v>
      </c>
      <c r="I190" s="104">
        <v>0</v>
      </c>
      <c r="J190" s="104">
        <v>0</v>
      </c>
      <c r="K190" s="144">
        <f t="shared" si="31"/>
        <v>137700</v>
      </c>
      <c r="L190" s="104">
        <v>0</v>
      </c>
      <c r="M190" s="103">
        <v>0</v>
      </c>
      <c r="N190" s="102">
        <f t="shared" si="39"/>
        <v>137700</v>
      </c>
      <c r="O190" s="104">
        <v>0</v>
      </c>
      <c r="P190" s="104">
        <v>0</v>
      </c>
      <c r="Q190" s="105">
        <v>0</v>
      </c>
      <c r="R190" s="104">
        <v>0</v>
      </c>
      <c r="S190" s="173">
        <f t="shared" si="37"/>
        <v>137700</v>
      </c>
    </row>
    <row r="191" spans="1:20" ht="15" customHeight="1" x14ac:dyDescent="0.25">
      <c r="A191" s="54" t="s">
        <v>273</v>
      </c>
      <c r="B191" s="53" t="s">
        <v>36</v>
      </c>
      <c r="C191" s="104">
        <v>0</v>
      </c>
      <c r="D191" s="104">
        <v>0</v>
      </c>
      <c r="E191" s="105">
        <v>26165.62</v>
      </c>
      <c r="F191" s="104">
        <f t="shared" si="38"/>
        <v>26165.62</v>
      </c>
      <c r="G191" s="104">
        <v>0</v>
      </c>
      <c r="H191" s="104">
        <f t="shared" si="34"/>
        <v>26165.62</v>
      </c>
      <c r="I191" s="104">
        <v>0</v>
      </c>
      <c r="J191" s="104">
        <v>0</v>
      </c>
      <c r="K191" s="144">
        <f t="shared" si="31"/>
        <v>26165.62</v>
      </c>
      <c r="L191" s="104">
        <v>0</v>
      </c>
      <c r="M191" s="103">
        <v>0</v>
      </c>
      <c r="N191" s="102">
        <f t="shared" si="39"/>
        <v>26165.62</v>
      </c>
      <c r="O191" s="104">
        <v>0</v>
      </c>
      <c r="P191" s="104">
        <v>0</v>
      </c>
      <c r="Q191" s="105">
        <v>0</v>
      </c>
      <c r="R191" s="104">
        <v>0</v>
      </c>
      <c r="S191" s="173">
        <f t="shared" si="37"/>
        <v>26165.62</v>
      </c>
    </row>
    <row r="192" spans="1:20" ht="15" customHeight="1" x14ac:dyDescent="0.25">
      <c r="A192" s="54" t="s">
        <v>126</v>
      </c>
      <c r="B192" s="53" t="s">
        <v>36</v>
      </c>
      <c r="C192" s="104">
        <v>228</v>
      </c>
      <c r="D192" s="104">
        <v>0</v>
      </c>
      <c r="E192" s="105">
        <v>0</v>
      </c>
      <c r="F192" s="104">
        <f t="shared" si="38"/>
        <v>228</v>
      </c>
      <c r="G192" s="104">
        <v>0</v>
      </c>
      <c r="H192" s="104">
        <f t="shared" si="34"/>
        <v>228</v>
      </c>
      <c r="I192" s="104">
        <v>0</v>
      </c>
      <c r="J192" s="104">
        <v>0</v>
      </c>
      <c r="K192" s="144">
        <f t="shared" si="31"/>
        <v>228</v>
      </c>
      <c r="L192" s="104">
        <v>0</v>
      </c>
      <c r="M192" s="103">
        <v>0</v>
      </c>
      <c r="N192" s="102">
        <f t="shared" si="39"/>
        <v>228</v>
      </c>
      <c r="O192" s="104">
        <v>0</v>
      </c>
      <c r="P192" s="104">
        <v>0</v>
      </c>
      <c r="Q192" s="105">
        <v>0</v>
      </c>
      <c r="R192" s="104">
        <v>0</v>
      </c>
      <c r="S192" s="173">
        <f t="shared" si="37"/>
        <v>228</v>
      </c>
    </row>
    <row r="193" spans="1:20" ht="15" customHeight="1" x14ac:dyDescent="0.25">
      <c r="A193" s="54" t="s">
        <v>127</v>
      </c>
      <c r="B193" s="53" t="s">
        <v>36</v>
      </c>
      <c r="C193" s="104">
        <v>189</v>
      </c>
      <c r="D193" s="104">
        <v>0</v>
      </c>
      <c r="E193" s="105">
        <v>0</v>
      </c>
      <c r="F193" s="104">
        <f t="shared" si="38"/>
        <v>189</v>
      </c>
      <c r="G193" s="104">
        <v>0</v>
      </c>
      <c r="H193" s="104">
        <f t="shared" si="34"/>
        <v>189</v>
      </c>
      <c r="I193" s="104">
        <v>0</v>
      </c>
      <c r="J193" s="104">
        <v>0</v>
      </c>
      <c r="K193" s="144">
        <f t="shared" si="31"/>
        <v>189</v>
      </c>
      <c r="L193" s="104">
        <v>0</v>
      </c>
      <c r="M193" s="103">
        <v>0</v>
      </c>
      <c r="N193" s="102">
        <f t="shared" si="39"/>
        <v>189</v>
      </c>
      <c r="O193" s="104">
        <v>0</v>
      </c>
      <c r="P193" s="104">
        <v>0</v>
      </c>
      <c r="Q193" s="105">
        <v>0</v>
      </c>
      <c r="R193" s="104">
        <v>0</v>
      </c>
      <c r="S193" s="173">
        <f t="shared" si="37"/>
        <v>189</v>
      </c>
    </row>
    <row r="194" spans="1:20" ht="15" customHeight="1" x14ac:dyDescent="0.25">
      <c r="A194" s="54" t="s">
        <v>128</v>
      </c>
      <c r="B194" s="53" t="s">
        <v>36</v>
      </c>
      <c r="C194" s="104">
        <v>1047</v>
      </c>
      <c r="D194" s="104">
        <v>0</v>
      </c>
      <c r="E194" s="105">
        <v>0</v>
      </c>
      <c r="F194" s="104">
        <f t="shared" si="38"/>
        <v>1047</v>
      </c>
      <c r="G194" s="104">
        <v>0</v>
      </c>
      <c r="H194" s="104">
        <f t="shared" si="34"/>
        <v>1047</v>
      </c>
      <c r="I194" s="104">
        <v>0</v>
      </c>
      <c r="J194" s="104">
        <v>0</v>
      </c>
      <c r="K194" s="144">
        <f t="shared" si="31"/>
        <v>1047</v>
      </c>
      <c r="L194" s="104">
        <v>0</v>
      </c>
      <c r="M194" s="103">
        <v>0</v>
      </c>
      <c r="N194" s="102">
        <f t="shared" si="39"/>
        <v>1047</v>
      </c>
      <c r="O194" s="104">
        <v>0</v>
      </c>
      <c r="P194" s="104">
        <v>0</v>
      </c>
      <c r="Q194" s="105">
        <v>0</v>
      </c>
      <c r="R194" s="104">
        <v>0</v>
      </c>
      <c r="S194" s="173">
        <f t="shared" si="37"/>
        <v>1047</v>
      </c>
    </row>
    <row r="195" spans="1:20" ht="15" customHeight="1" x14ac:dyDescent="0.25">
      <c r="A195" s="54" t="s">
        <v>129</v>
      </c>
      <c r="B195" s="53" t="s">
        <v>36</v>
      </c>
      <c r="C195" s="104">
        <v>277</v>
      </c>
      <c r="D195" s="104">
        <v>0</v>
      </c>
      <c r="E195" s="105">
        <v>0</v>
      </c>
      <c r="F195" s="104">
        <f t="shared" si="38"/>
        <v>277</v>
      </c>
      <c r="G195" s="104">
        <v>0</v>
      </c>
      <c r="H195" s="104">
        <f t="shared" si="34"/>
        <v>277</v>
      </c>
      <c r="I195" s="104">
        <v>0</v>
      </c>
      <c r="J195" s="104">
        <v>0</v>
      </c>
      <c r="K195" s="144">
        <f t="shared" si="31"/>
        <v>277</v>
      </c>
      <c r="L195" s="104">
        <v>0</v>
      </c>
      <c r="M195" s="103">
        <v>0</v>
      </c>
      <c r="N195" s="102">
        <f t="shared" si="39"/>
        <v>277</v>
      </c>
      <c r="O195" s="104">
        <v>0</v>
      </c>
      <c r="P195" s="104">
        <v>0</v>
      </c>
      <c r="Q195" s="105">
        <v>0</v>
      </c>
      <c r="R195" s="104">
        <v>0</v>
      </c>
      <c r="S195" s="173">
        <f t="shared" si="37"/>
        <v>277</v>
      </c>
    </row>
    <row r="196" spans="1:20" ht="27" customHeight="1" x14ac:dyDescent="0.25">
      <c r="A196" s="17" t="s">
        <v>130</v>
      </c>
      <c r="B196" s="53" t="s">
        <v>36</v>
      </c>
      <c r="C196" s="104">
        <v>150</v>
      </c>
      <c r="D196" s="104">
        <v>0</v>
      </c>
      <c r="E196" s="105">
        <v>0</v>
      </c>
      <c r="F196" s="104">
        <f t="shared" si="38"/>
        <v>150</v>
      </c>
      <c r="G196" s="104">
        <v>0</v>
      </c>
      <c r="H196" s="104">
        <f t="shared" si="34"/>
        <v>150</v>
      </c>
      <c r="I196" s="104">
        <v>0</v>
      </c>
      <c r="J196" s="104">
        <v>0</v>
      </c>
      <c r="K196" s="144">
        <f t="shared" si="31"/>
        <v>150</v>
      </c>
      <c r="L196" s="104">
        <v>0</v>
      </c>
      <c r="M196" s="103">
        <v>0</v>
      </c>
      <c r="N196" s="102">
        <f t="shared" si="39"/>
        <v>150</v>
      </c>
      <c r="O196" s="104">
        <v>0</v>
      </c>
      <c r="P196" s="104">
        <v>0</v>
      </c>
      <c r="Q196" s="105">
        <v>0</v>
      </c>
      <c r="R196" s="104">
        <v>0</v>
      </c>
      <c r="S196" s="173">
        <f t="shared" si="37"/>
        <v>150</v>
      </c>
    </row>
    <row r="197" spans="1:20" ht="38.25" customHeight="1" x14ac:dyDescent="0.25">
      <c r="A197" s="17" t="s">
        <v>131</v>
      </c>
      <c r="B197" s="53"/>
      <c r="C197" s="104">
        <v>2450</v>
      </c>
      <c r="D197" s="104">
        <v>0</v>
      </c>
      <c r="E197" s="105">
        <v>0</v>
      </c>
      <c r="F197" s="104">
        <f t="shared" si="38"/>
        <v>2450</v>
      </c>
      <c r="G197" s="104">
        <v>0</v>
      </c>
      <c r="H197" s="104">
        <f t="shared" si="34"/>
        <v>2450</v>
      </c>
      <c r="I197" s="104">
        <v>0</v>
      </c>
      <c r="J197" s="104">
        <v>0</v>
      </c>
      <c r="K197" s="144">
        <f t="shared" si="31"/>
        <v>2450</v>
      </c>
      <c r="L197" s="104">
        <v>0</v>
      </c>
      <c r="M197" s="103">
        <v>0</v>
      </c>
      <c r="N197" s="102">
        <f t="shared" si="39"/>
        <v>2450</v>
      </c>
      <c r="O197" s="104">
        <v>0</v>
      </c>
      <c r="P197" s="104">
        <v>0</v>
      </c>
      <c r="Q197" s="105">
        <f>-2450</f>
        <v>-2450</v>
      </c>
      <c r="R197" s="104">
        <v>0</v>
      </c>
      <c r="S197" s="173">
        <f t="shared" si="37"/>
        <v>0</v>
      </c>
    </row>
    <row r="198" spans="1:20" ht="27" customHeight="1" thickBot="1" x14ac:dyDescent="0.3">
      <c r="A198" s="20" t="s">
        <v>132</v>
      </c>
      <c r="B198" s="45"/>
      <c r="C198" s="106">
        <v>91501</v>
      </c>
      <c r="D198" s="106">
        <v>0</v>
      </c>
      <c r="E198" s="107">
        <v>900</v>
      </c>
      <c r="F198" s="106">
        <f t="shared" si="38"/>
        <v>92401</v>
      </c>
      <c r="G198" s="106">
        <v>0</v>
      </c>
      <c r="H198" s="106">
        <f t="shared" si="34"/>
        <v>92401</v>
      </c>
      <c r="I198" s="106">
        <v>0</v>
      </c>
      <c r="J198" s="106">
        <v>0</v>
      </c>
      <c r="K198" s="228">
        <f>SUM(H198:J198)-100</f>
        <v>92301</v>
      </c>
      <c r="L198" s="106">
        <f>1500</f>
        <v>1500</v>
      </c>
      <c r="M198" s="137">
        <v>0</v>
      </c>
      <c r="N198" s="108">
        <f t="shared" si="39"/>
        <v>93801</v>
      </c>
      <c r="O198" s="106">
        <v>0</v>
      </c>
      <c r="P198" s="106">
        <f>-880-1243+117</f>
        <v>-2006</v>
      </c>
      <c r="Q198" s="107">
        <f>-1400</f>
        <v>-1400</v>
      </c>
      <c r="R198" s="106">
        <f>1838</f>
        <v>1838</v>
      </c>
      <c r="S198" s="182">
        <f t="shared" si="37"/>
        <v>92233</v>
      </c>
    </row>
    <row r="199" spans="1:20" ht="15" customHeight="1" thickBot="1" x14ac:dyDescent="0.3">
      <c r="A199" s="56" t="s">
        <v>133</v>
      </c>
      <c r="B199" s="50"/>
      <c r="C199" s="42">
        <f t="shared" ref="C199:J199" si="40">SUM(C201:C207)</f>
        <v>152530.56</v>
      </c>
      <c r="D199" s="42">
        <f t="shared" si="40"/>
        <v>81.66</v>
      </c>
      <c r="E199" s="88">
        <f t="shared" si="40"/>
        <v>719</v>
      </c>
      <c r="F199" s="42">
        <f t="shared" si="40"/>
        <v>153331.22</v>
      </c>
      <c r="G199" s="42">
        <f t="shared" si="40"/>
        <v>11.96</v>
      </c>
      <c r="H199" s="42">
        <f t="shared" si="40"/>
        <v>153229.18</v>
      </c>
      <c r="I199" s="42">
        <f t="shared" si="40"/>
        <v>-111.23</v>
      </c>
      <c r="J199" s="42">
        <f t="shared" si="40"/>
        <v>0</v>
      </c>
      <c r="K199" s="150">
        <f>SUM(K201:K207)</f>
        <v>153011.41999999998</v>
      </c>
      <c r="L199" s="123">
        <f>SUM(L201:L207)</f>
        <v>1889.11</v>
      </c>
      <c r="M199" s="124">
        <f>SUM(M201:M207)</f>
        <v>0</v>
      </c>
      <c r="N199" s="123">
        <f t="shared" si="39"/>
        <v>154900.52999999997</v>
      </c>
      <c r="O199" s="123">
        <f>SUM(O201:O207)</f>
        <v>0</v>
      </c>
      <c r="P199" s="123">
        <f>SUM(P201:P207)</f>
        <v>-21.040000000000077</v>
      </c>
      <c r="Q199" s="124">
        <f>SUM(Q201:Q207)</f>
        <v>3383.39</v>
      </c>
      <c r="R199" s="123">
        <f>SUM(R201:R207)</f>
        <v>0</v>
      </c>
      <c r="S199" s="172">
        <f t="shared" si="37"/>
        <v>158262.87999999998</v>
      </c>
      <c r="T199" s="122"/>
    </row>
    <row r="200" spans="1:20" ht="12" customHeight="1" x14ac:dyDescent="0.25">
      <c r="A200" s="57" t="s">
        <v>27</v>
      </c>
      <c r="B200" s="47"/>
      <c r="C200" s="16"/>
      <c r="D200" s="16"/>
      <c r="E200" s="82"/>
      <c r="F200" s="16"/>
      <c r="G200" s="16"/>
      <c r="H200" s="102"/>
      <c r="I200" s="102"/>
      <c r="J200" s="102"/>
      <c r="K200" s="144"/>
      <c r="L200" s="102"/>
      <c r="M200" s="103"/>
      <c r="N200" s="102"/>
      <c r="O200" s="102"/>
      <c r="P200" s="102"/>
      <c r="Q200" s="103"/>
      <c r="R200" s="102"/>
      <c r="S200" s="165"/>
    </row>
    <row r="201" spans="1:20" ht="15" customHeight="1" x14ac:dyDescent="0.25">
      <c r="A201" s="54" t="s">
        <v>30</v>
      </c>
      <c r="B201" s="49"/>
      <c r="C201" s="104">
        <v>4590</v>
      </c>
      <c r="D201" s="104">
        <f>90.66</f>
        <v>90.66</v>
      </c>
      <c r="E201" s="105">
        <v>0</v>
      </c>
      <c r="F201" s="104">
        <f>SUM(C201:E201)</f>
        <v>4680.66</v>
      </c>
      <c r="G201" s="104">
        <f>11.96</f>
        <v>11.96</v>
      </c>
      <c r="H201" s="104">
        <f t="shared" si="34"/>
        <v>4692.62</v>
      </c>
      <c r="I201" s="104">
        <v>0</v>
      </c>
      <c r="J201" s="104">
        <v>0</v>
      </c>
      <c r="K201" s="144">
        <f>SUM(H201:J201)+45.47</f>
        <v>4738.09</v>
      </c>
      <c r="L201" s="104">
        <v>0</v>
      </c>
      <c r="M201" s="103">
        <v>0</v>
      </c>
      <c r="N201" s="102">
        <f t="shared" si="39"/>
        <v>4738.09</v>
      </c>
      <c r="O201" s="104">
        <v>0</v>
      </c>
      <c r="P201" s="104">
        <f>-995</f>
        <v>-995</v>
      </c>
      <c r="Q201" s="105">
        <v>0</v>
      </c>
      <c r="R201" s="104">
        <v>0</v>
      </c>
      <c r="S201" s="173">
        <f t="shared" ref="S201:S208" si="41">SUM(N201:R201)</f>
        <v>3743.09</v>
      </c>
    </row>
    <row r="202" spans="1:20" ht="38.25" customHeight="1" x14ac:dyDescent="0.25">
      <c r="A202" s="17" t="s">
        <v>134</v>
      </c>
      <c r="B202" s="53" t="s">
        <v>135</v>
      </c>
      <c r="C202" s="104">
        <v>350</v>
      </c>
      <c r="D202" s="104">
        <v>0</v>
      </c>
      <c r="E202" s="105">
        <v>0</v>
      </c>
      <c r="F202" s="104">
        <f t="shared" ref="F202:F207" si="42">SUM(C202:E202)</f>
        <v>350</v>
      </c>
      <c r="G202" s="104">
        <v>0</v>
      </c>
      <c r="H202" s="104">
        <f t="shared" si="34"/>
        <v>350</v>
      </c>
      <c r="I202" s="104">
        <v>0</v>
      </c>
      <c r="J202" s="104">
        <v>0</v>
      </c>
      <c r="K202" s="144">
        <f t="shared" ref="K202:K278" si="43">SUM(H202:J202)</f>
        <v>350</v>
      </c>
      <c r="L202" s="104">
        <f>0</f>
        <v>0</v>
      </c>
      <c r="M202" s="103">
        <v>0</v>
      </c>
      <c r="N202" s="102">
        <f t="shared" si="39"/>
        <v>350</v>
      </c>
      <c r="O202" s="104">
        <v>0</v>
      </c>
      <c r="P202" s="104">
        <v>0</v>
      </c>
      <c r="Q202" s="105">
        <f>-215.1</f>
        <v>-215.1</v>
      </c>
      <c r="R202" s="104">
        <v>0</v>
      </c>
      <c r="S202" s="173">
        <f t="shared" si="41"/>
        <v>134.9</v>
      </c>
    </row>
    <row r="203" spans="1:20" ht="24" customHeight="1" x14ac:dyDescent="0.25">
      <c r="A203" s="17" t="s">
        <v>136</v>
      </c>
      <c r="B203" s="53" t="s">
        <v>137</v>
      </c>
      <c r="C203" s="104">
        <v>250</v>
      </c>
      <c r="D203" s="104">
        <v>0</v>
      </c>
      <c r="E203" s="105">
        <v>0</v>
      </c>
      <c r="F203" s="104">
        <f t="shared" si="42"/>
        <v>250</v>
      </c>
      <c r="G203" s="104">
        <v>0</v>
      </c>
      <c r="H203" s="104">
        <f t="shared" si="34"/>
        <v>250</v>
      </c>
      <c r="I203" s="104">
        <v>0</v>
      </c>
      <c r="J203" s="104">
        <v>0</v>
      </c>
      <c r="K203" s="144">
        <f t="shared" si="43"/>
        <v>250</v>
      </c>
      <c r="L203" s="104">
        <f>-125.89</f>
        <v>-125.89</v>
      </c>
      <c r="M203" s="103">
        <v>0</v>
      </c>
      <c r="N203" s="102">
        <f t="shared" si="39"/>
        <v>124.11</v>
      </c>
      <c r="O203" s="104">
        <v>0</v>
      </c>
      <c r="P203" s="104">
        <v>0</v>
      </c>
      <c r="Q203" s="105">
        <v>0</v>
      </c>
      <c r="R203" s="104">
        <v>0</v>
      </c>
      <c r="S203" s="173">
        <f t="shared" si="41"/>
        <v>124.11</v>
      </c>
    </row>
    <row r="204" spans="1:20" ht="15.75" customHeight="1" x14ac:dyDescent="0.25">
      <c r="A204" s="54" t="s">
        <v>138</v>
      </c>
      <c r="B204" s="62"/>
      <c r="C204" s="104">
        <v>10</v>
      </c>
      <c r="D204" s="104">
        <v>0</v>
      </c>
      <c r="E204" s="105">
        <v>0</v>
      </c>
      <c r="F204" s="104">
        <f t="shared" si="42"/>
        <v>10</v>
      </c>
      <c r="G204" s="104">
        <v>0</v>
      </c>
      <c r="H204" s="104">
        <f t="shared" si="34"/>
        <v>10</v>
      </c>
      <c r="I204" s="104">
        <v>0</v>
      </c>
      <c r="J204" s="104">
        <v>0</v>
      </c>
      <c r="K204" s="144">
        <f t="shared" si="43"/>
        <v>10</v>
      </c>
      <c r="L204" s="104">
        <v>0</v>
      </c>
      <c r="M204" s="103">
        <v>0</v>
      </c>
      <c r="N204" s="102">
        <f t="shared" si="39"/>
        <v>10</v>
      </c>
      <c r="O204" s="104">
        <v>0</v>
      </c>
      <c r="P204" s="104">
        <v>0</v>
      </c>
      <c r="Q204" s="105">
        <v>0</v>
      </c>
      <c r="R204" s="104">
        <v>0</v>
      </c>
      <c r="S204" s="173">
        <f t="shared" si="41"/>
        <v>10</v>
      </c>
    </row>
    <row r="205" spans="1:20" ht="15" customHeight="1" x14ac:dyDescent="0.25">
      <c r="A205" s="54" t="s">
        <v>139</v>
      </c>
      <c r="B205" s="63" t="s">
        <v>45</v>
      </c>
      <c r="C205" s="104">
        <v>180</v>
      </c>
      <c r="D205" s="104">
        <v>0</v>
      </c>
      <c r="E205" s="105">
        <v>0</v>
      </c>
      <c r="F205" s="104">
        <f t="shared" si="42"/>
        <v>180</v>
      </c>
      <c r="G205" s="104">
        <v>0</v>
      </c>
      <c r="H205" s="104">
        <f t="shared" si="34"/>
        <v>180</v>
      </c>
      <c r="I205" s="104">
        <v>0</v>
      </c>
      <c r="J205" s="104">
        <v>0</v>
      </c>
      <c r="K205" s="144">
        <f t="shared" si="43"/>
        <v>180</v>
      </c>
      <c r="L205" s="104">
        <v>0</v>
      </c>
      <c r="M205" s="103">
        <v>0</v>
      </c>
      <c r="N205" s="102">
        <f t="shared" si="39"/>
        <v>180</v>
      </c>
      <c r="O205" s="104">
        <v>0</v>
      </c>
      <c r="P205" s="104">
        <v>0</v>
      </c>
      <c r="Q205" s="105">
        <v>0</v>
      </c>
      <c r="R205" s="104">
        <v>0</v>
      </c>
      <c r="S205" s="173">
        <f t="shared" si="41"/>
        <v>180</v>
      </c>
    </row>
    <row r="206" spans="1:20" ht="15" customHeight="1" x14ac:dyDescent="0.25">
      <c r="A206" s="54" t="s">
        <v>140</v>
      </c>
      <c r="B206" s="63" t="s">
        <v>45</v>
      </c>
      <c r="C206" s="104">
        <v>810</v>
      </c>
      <c r="D206" s="104">
        <v>0</v>
      </c>
      <c r="E206" s="105">
        <v>0</v>
      </c>
      <c r="F206" s="104">
        <f t="shared" si="42"/>
        <v>810</v>
      </c>
      <c r="G206" s="104">
        <v>0</v>
      </c>
      <c r="H206" s="104">
        <f t="shared" si="34"/>
        <v>810</v>
      </c>
      <c r="I206" s="104">
        <v>0</v>
      </c>
      <c r="J206" s="104">
        <v>0</v>
      </c>
      <c r="K206" s="144">
        <f t="shared" si="43"/>
        <v>810</v>
      </c>
      <c r="L206" s="104">
        <v>0</v>
      </c>
      <c r="M206" s="103">
        <v>0</v>
      </c>
      <c r="N206" s="102">
        <f t="shared" si="39"/>
        <v>810</v>
      </c>
      <c r="O206" s="104">
        <v>0</v>
      </c>
      <c r="P206" s="104">
        <v>0</v>
      </c>
      <c r="Q206" s="105">
        <v>0</v>
      </c>
      <c r="R206" s="104">
        <v>0</v>
      </c>
      <c r="S206" s="173">
        <f t="shared" si="41"/>
        <v>810</v>
      </c>
    </row>
    <row r="207" spans="1:20" ht="25.5" customHeight="1" thickBot="1" x14ac:dyDescent="0.3">
      <c r="A207" s="20" t="s">
        <v>141</v>
      </c>
      <c r="B207" s="186"/>
      <c r="C207" s="106">
        <v>146340.56</v>
      </c>
      <c r="D207" s="106">
        <f>-9</f>
        <v>-9</v>
      </c>
      <c r="E207" s="107">
        <v>719</v>
      </c>
      <c r="F207" s="106">
        <f t="shared" si="42"/>
        <v>147050.56</v>
      </c>
      <c r="G207" s="106">
        <v>0</v>
      </c>
      <c r="H207" s="106">
        <f>SUM(F207:G207)-114</f>
        <v>146936.56</v>
      </c>
      <c r="I207" s="106">
        <v>-111.23</v>
      </c>
      <c r="J207" s="106">
        <v>0</v>
      </c>
      <c r="K207" s="113">
        <f>SUM(H207:J207)-152</f>
        <v>146673.32999999999</v>
      </c>
      <c r="L207" s="106">
        <f>2015</f>
        <v>2015</v>
      </c>
      <c r="M207" s="107">
        <v>0</v>
      </c>
      <c r="N207" s="106">
        <f t="shared" si="39"/>
        <v>148688.32999999999</v>
      </c>
      <c r="O207" s="106">
        <v>0</v>
      </c>
      <c r="P207" s="106">
        <f>19.8-52.9+1007.06</f>
        <v>973.95999999999992</v>
      </c>
      <c r="Q207" s="107">
        <f>-401.51+4000</f>
        <v>3598.49</v>
      </c>
      <c r="R207" s="106">
        <v>0</v>
      </c>
      <c r="S207" s="182">
        <f t="shared" si="41"/>
        <v>153260.77999999997</v>
      </c>
    </row>
    <row r="208" spans="1:20" ht="16.5" customHeight="1" thickBot="1" x14ac:dyDescent="0.3">
      <c r="A208" s="56" t="s">
        <v>142</v>
      </c>
      <c r="B208" s="50"/>
      <c r="C208" s="42">
        <f t="shared" ref="C208:J208" si="44">SUM(C210:C261)</f>
        <v>112053</v>
      </c>
      <c r="D208" s="42">
        <f t="shared" si="44"/>
        <v>0</v>
      </c>
      <c r="E208" s="88">
        <f t="shared" si="44"/>
        <v>6135</v>
      </c>
      <c r="F208" s="42">
        <f t="shared" si="44"/>
        <v>118188</v>
      </c>
      <c r="G208" s="42">
        <f t="shared" si="44"/>
        <v>58129</v>
      </c>
      <c r="H208" s="42">
        <f t="shared" si="44"/>
        <v>176317</v>
      </c>
      <c r="I208" s="42">
        <f t="shared" si="44"/>
        <v>239.00000000000011</v>
      </c>
      <c r="J208" s="42">
        <f t="shared" si="44"/>
        <v>70.5</v>
      </c>
      <c r="K208" s="150">
        <f t="shared" si="43"/>
        <v>176626.5</v>
      </c>
      <c r="L208" s="123">
        <f>SUM(L210:L261)</f>
        <v>-274.81</v>
      </c>
      <c r="M208" s="124">
        <f>SUM(M210:M261)</f>
        <v>0</v>
      </c>
      <c r="N208" s="123">
        <f t="shared" si="39"/>
        <v>176351.69</v>
      </c>
      <c r="O208" s="123">
        <f>SUM(O210:O261)</f>
        <v>0</v>
      </c>
      <c r="P208" s="123">
        <f>SUM(P210:P261)</f>
        <v>4268</v>
      </c>
      <c r="Q208" s="124">
        <f>SUM(Q210:Q261)</f>
        <v>-8557</v>
      </c>
      <c r="R208" s="123">
        <f>SUM(R210:R261)</f>
        <v>0</v>
      </c>
      <c r="S208" s="172">
        <f t="shared" si="41"/>
        <v>172062.69</v>
      </c>
      <c r="T208" s="122"/>
    </row>
    <row r="209" spans="1:19" ht="15.75" customHeight="1" x14ac:dyDescent="0.25">
      <c r="A209" s="57" t="s">
        <v>27</v>
      </c>
      <c r="B209" s="47"/>
      <c r="C209" s="16"/>
      <c r="D209" s="16"/>
      <c r="E209" s="82"/>
      <c r="F209" s="16"/>
      <c r="G209" s="16"/>
      <c r="H209" s="102"/>
      <c r="I209" s="102"/>
      <c r="J209" s="102"/>
      <c r="K209" s="144"/>
      <c r="L209" s="102"/>
      <c r="M209" s="103"/>
      <c r="N209" s="102"/>
      <c r="O209" s="102"/>
      <c r="P209" s="102"/>
      <c r="Q209" s="103"/>
      <c r="R209" s="102"/>
      <c r="S209" s="165"/>
    </row>
    <row r="210" spans="1:19" ht="23.25" customHeight="1" x14ac:dyDescent="0.25">
      <c r="A210" s="17" t="s">
        <v>143</v>
      </c>
      <c r="B210" s="49" t="s">
        <v>144</v>
      </c>
      <c r="C210" s="110">
        <v>850</v>
      </c>
      <c r="D210" s="110">
        <v>0</v>
      </c>
      <c r="E210" s="105">
        <v>0</v>
      </c>
      <c r="F210" s="104">
        <f>SUM(C210:E210)</f>
        <v>850</v>
      </c>
      <c r="G210" s="104">
        <v>0</v>
      </c>
      <c r="H210" s="104">
        <f t="shared" si="34"/>
        <v>850</v>
      </c>
      <c r="I210" s="104">
        <v>-585</v>
      </c>
      <c r="J210" s="104">
        <v>0</v>
      </c>
      <c r="K210" s="144">
        <f t="shared" si="43"/>
        <v>265</v>
      </c>
      <c r="L210" s="104">
        <v>0</v>
      </c>
      <c r="M210" s="103">
        <v>0</v>
      </c>
      <c r="N210" s="102">
        <f t="shared" si="39"/>
        <v>265</v>
      </c>
      <c r="O210" s="104">
        <v>0</v>
      </c>
      <c r="P210" s="104">
        <v>0</v>
      </c>
      <c r="Q210" s="105">
        <v>0</v>
      </c>
      <c r="R210" s="104">
        <v>0</v>
      </c>
      <c r="S210" s="173">
        <f t="shared" ref="S210:S241" si="45">SUM(N210:R210)</f>
        <v>265</v>
      </c>
    </row>
    <row r="211" spans="1:19" ht="24" customHeight="1" x14ac:dyDescent="0.25">
      <c r="A211" s="17" t="s">
        <v>145</v>
      </c>
      <c r="B211" s="53" t="s">
        <v>146</v>
      </c>
      <c r="C211" s="104">
        <v>17000</v>
      </c>
      <c r="D211" s="104">
        <v>0</v>
      </c>
      <c r="E211" s="105">
        <v>0</v>
      </c>
      <c r="F211" s="104">
        <f t="shared" ref="F211:F261" si="46">SUM(C211:E211)</f>
        <v>17000</v>
      </c>
      <c r="G211" s="106">
        <v>0</v>
      </c>
      <c r="H211" s="108">
        <f t="shared" si="34"/>
        <v>17000</v>
      </c>
      <c r="I211" s="108">
        <v>0</v>
      </c>
      <c r="J211" s="108">
        <v>0</v>
      </c>
      <c r="K211" s="144">
        <f t="shared" si="43"/>
        <v>17000</v>
      </c>
      <c r="L211" s="104">
        <v>0</v>
      </c>
      <c r="M211" s="103">
        <v>0</v>
      </c>
      <c r="N211" s="102">
        <f t="shared" si="39"/>
        <v>17000</v>
      </c>
      <c r="O211" s="104">
        <v>0</v>
      </c>
      <c r="P211" s="104">
        <v>0</v>
      </c>
      <c r="Q211" s="105">
        <v>0</v>
      </c>
      <c r="R211" s="104">
        <v>0</v>
      </c>
      <c r="S211" s="173">
        <f t="shared" si="45"/>
        <v>17000</v>
      </c>
    </row>
    <row r="212" spans="1:19" ht="27" customHeight="1" x14ac:dyDescent="0.25">
      <c r="A212" s="17" t="s">
        <v>147</v>
      </c>
      <c r="B212" s="53" t="s">
        <v>148</v>
      </c>
      <c r="C212" s="104">
        <v>1000</v>
      </c>
      <c r="D212" s="104">
        <v>0</v>
      </c>
      <c r="E212" s="105">
        <v>0</v>
      </c>
      <c r="F212" s="104">
        <f t="shared" si="46"/>
        <v>1000</v>
      </c>
      <c r="G212" s="104">
        <v>0</v>
      </c>
      <c r="H212" s="104">
        <f t="shared" si="34"/>
        <v>1000</v>
      </c>
      <c r="I212" s="104">
        <v>-562.6</v>
      </c>
      <c r="J212" s="104">
        <v>0</v>
      </c>
      <c r="K212" s="144">
        <f t="shared" si="43"/>
        <v>437.4</v>
      </c>
      <c r="L212" s="104">
        <f>-60</f>
        <v>-60</v>
      </c>
      <c r="M212" s="103">
        <v>0</v>
      </c>
      <c r="N212" s="102">
        <f t="shared" si="39"/>
        <v>377.4</v>
      </c>
      <c r="O212" s="104">
        <v>0</v>
      </c>
      <c r="P212" s="104">
        <v>0</v>
      </c>
      <c r="Q212" s="105">
        <v>0</v>
      </c>
      <c r="R212" s="104">
        <v>0</v>
      </c>
      <c r="S212" s="173">
        <f t="shared" si="45"/>
        <v>377.4</v>
      </c>
    </row>
    <row r="213" spans="1:19" ht="27" customHeight="1" x14ac:dyDescent="0.25">
      <c r="A213" s="17" t="s">
        <v>149</v>
      </c>
      <c r="B213" s="53" t="s">
        <v>150</v>
      </c>
      <c r="C213" s="104">
        <v>1600</v>
      </c>
      <c r="D213" s="104">
        <v>0</v>
      </c>
      <c r="E213" s="105">
        <v>0</v>
      </c>
      <c r="F213" s="104">
        <f t="shared" si="46"/>
        <v>1600</v>
      </c>
      <c r="G213" s="104">
        <v>0</v>
      </c>
      <c r="H213" s="104">
        <f t="shared" si="34"/>
        <v>1600</v>
      </c>
      <c r="I213" s="104">
        <v>0</v>
      </c>
      <c r="J213" s="104">
        <v>0</v>
      </c>
      <c r="K213" s="144">
        <f t="shared" si="43"/>
        <v>1600</v>
      </c>
      <c r="L213" s="104">
        <v>0</v>
      </c>
      <c r="M213" s="103">
        <v>0</v>
      </c>
      <c r="N213" s="102">
        <f t="shared" si="39"/>
        <v>1600</v>
      </c>
      <c r="O213" s="104">
        <v>0</v>
      </c>
      <c r="P213" s="104">
        <v>0</v>
      </c>
      <c r="Q213" s="105">
        <v>0</v>
      </c>
      <c r="R213" s="104">
        <v>0</v>
      </c>
      <c r="S213" s="173">
        <f t="shared" si="45"/>
        <v>1600</v>
      </c>
    </row>
    <row r="214" spans="1:19" ht="51" customHeight="1" x14ac:dyDescent="0.25">
      <c r="A214" s="17" t="s">
        <v>151</v>
      </c>
      <c r="B214" s="53" t="s">
        <v>36</v>
      </c>
      <c r="C214" s="109">
        <v>11900</v>
      </c>
      <c r="D214" s="109">
        <v>0</v>
      </c>
      <c r="E214" s="105">
        <v>0</v>
      </c>
      <c r="F214" s="104">
        <f t="shared" si="46"/>
        <v>11900</v>
      </c>
      <c r="G214" s="104">
        <v>0</v>
      </c>
      <c r="H214" s="104">
        <f t="shared" si="34"/>
        <v>11900</v>
      </c>
      <c r="I214" s="104">
        <v>0</v>
      </c>
      <c r="J214" s="104">
        <v>0</v>
      </c>
      <c r="K214" s="144">
        <f t="shared" si="43"/>
        <v>11900</v>
      </c>
      <c r="L214" s="104">
        <v>0</v>
      </c>
      <c r="M214" s="103">
        <v>0</v>
      </c>
      <c r="N214" s="102">
        <f t="shared" si="39"/>
        <v>11900</v>
      </c>
      <c r="O214" s="104">
        <v>0</v>
      </c>
      <c r="P214" s="104">
        <v>0</v>
      </c>
      <c r="Q214" s="105">
        <v>0</v>
      </c>
      <c r="R214" s="104">
        <v>0</v>
      </c>
      <c r="S214" s="173">
        <f t="shared" si="45"/>
        <v>11900</v>
      </c>
    </row>
    <row r="215" spans="1:19" ht="15.75" customHeight="1" x14ac:dyDescent="0.25">
      <c r="A215" s="17" t="s">
        <v>320</v>
      </c>
      <c r="B215" s="53" t="s">
        <v>36</v>
      </c>
      <c r="C215" s="109">
        <v>0</v>
      </c>
      <c r="D215" s="109"/>
      <c r="E215" s="105"/>
      <c r="F215" s="104">
        <v>0</v>
      </c>
      <c r="G215" s="104">
        <f>5004</f>
        <v>5004</v>
      </c>
      <c r="H215" s="104">
        <f>SUM(F215:G215)</f>
        <v>5004</v>
      </c>
      <c r="I215" s="104">
        <v>0</v>
      </c>
      <c r="J215" s="104">
        <v>0</v>
      </c>
      <c r="K215" s="144">
        <f t="shared" si="43"/>
        <v>5004</v>
      </c>
      <c r="L215" s="104">
        <v>0</v>
      </c>
      <c r="M215" s="103">
        <v>0</v>
      </c>
      <c r="N215" s="102">
        <f t="shared" si="39"/>
        <v>5004</v>
      </c>
      <c r="O215" s="104">
        <v>0</v>
      </c>
      <c r="P215" s="104">
        <f>399</f>
        <v>399</v>
      </c>
      <c r="Q215" s="105">
        <v>0</v>
      </c>
      <c r="R215" s="104">
        <v>0</v>
      </c>
      <c r="S215" s="173">
        <f t="shared" si="45"/>
        <v>5403</v>
      </c>
    </row>
    <row r="216" spans="1:19" ht="15" customHeight="1" x14ac:dyDescent="0.25">
      <c r="A216" s="54" t="s">
        <v>152</v>
      </c>
      <c r="B216" s="53" t="s">
        <v>36</v>
      </c>
      <c r="C216" s="109">
        <v>6620</v>
      </c>
      <c r="D216" s="109">
        <v>0</v>
      </c>
      <c r="E216" s="105">
        <v>0</v>
      </c>
      <c r="F216" s="104">
        <f t="shared" si="46"/>
        <v>6620</v>
      </c>
      <c r="G216" s="104">
        <v>0</v>
      </c>
      <c r="H216" s="104">
        <f t="shared" si="34"/>
        <v>6620</v>
      </c>
      <c r="I216" s="104">
        <v>-11</v>
      </c>
      <c r="J216" s="104">
        <v>0</v>
      </c>
      <c r="K216" s="144">
        <f t="shared" si="43"/>
        <v>6609</v>
      </c>
      <c r="L216" s="104">
        <v>0</v>
      </c>
      <c r="M216" s="103">
        <v>0</v>
      </c>
      <c r="N216" s="102">
        <f t="shared" si="39"/>
        <v>6609</v>
      </c>
      <c r="O216" s="104">
        <v>0</v>
      </c>
      <c r="P216" s="104">
        <v>0</v>
      </c>
      <c r="Q216" s="105">
        <v>0</v>
      </c>
      <c r="R216" s="104">
        <v>0</v>
      </c>
      <c r="S216" s="173">
        <f t="shared" si="45"/>
        <v>6609</v>
      </c>
    </row>
    <row r="217" spans="1:19" ht="51" customHeight="1" x14ac:dyDescent="0.25">
      <c r="A217" s="17" t="s">
        <v>153</v>
      </c>
      <c r="B217" s="53" t="s">
        <v>36</v>
      </c>
      <c r="C217" s="109">
        <v>18705</v>
      </c>
      <c r="D217" s="109">
        <v>0</v>
      </c>
      <c r="E217" s="105">
        <v>0</v>
      </c>
      <c r="F217" s="104">
        <f t="shared" si="46"/>
        <v>18705</v>
      </c>
      <c r="G217" s="104">
        <v>0</v>
      </c>
      <c r="H217" s="104">
        <f t="shared" si="34"/>
        <v>18705</v>
      </c>
      <c r="I217" s="104">
        <v>0</v>
      </c>
      <c r="J217" s="104">
        <v>0</v>
      </c>
      <c r="K217" s="144">
        <f t="shared" si="43"/>
        <v>18705</v>
      </c>
      <c r="L217" s="104">
        <v>0</v>
      </c>
      <c r="M217" s="103">
        <v>0</v>
      </c>
      <c r="N217" s="102">
        <f t="shared" si="39"/>
        <v>18705</v>
      </c>
      <c r="O217" s="104">
        <v>0</v>
      </c>
      <c r="P217" s="104">
        <v>0</v>
      </c>
      <c r="Q217" s="105">
        <f>3000</f>
        <v>3000</v>
      </c>
      <c r="R217" s="104">
        <v>0</v>
      </c>
      <c r="S217" s="173">
        <f t="shared" si="45"/>
        <v>21705</v>
      </c>
    </row>
    <row r="218" spans="1:19" ht="17.25" customHeight="1" x14ac:dyDescent="0.25">
      <c r="A218" s="17" t="s">
        <v>323</v>
      </c>
      <c r="B218" s="53" t="s">
        <v>36</v>
      </c>
      <c r="C218" s="109">
        <v>0</v>
      </c>
      <c r="D218" s="109"/>
      <c r="E218" s="105"/>
      <c r="F218" s="104">
        <v>0</v>
      </c>
      <c r="G218" s="104">
        <f>25334</f>
        <v>25334</v>
      </c>
      <c r="H218" s="104">
        <f>SUM(F218:G218)</f>
        <v>25334</v>
      </c>
      <c r="I218" s="104">
        <v>0</v>
      </c>
      <c r="J218" s="104">
        <v>0</v>
      </c>
      <c r="K218" s="144">
        <f t="shared" si="43"/>
        <v>25334</v>
      </c>
      <c r="L218" s="104">
        <v>0</v>
      </c>
      <c r="M218" s="103">
        <v>0</v>
      </c>
      <c r="N218" s="102">
        <f t="shared" si="39"/>
        <v>25334</v>
      </c>
      <c r="O218" s="104">
        <v>0</v>
      </c>
      <c r="P218" s="104">
        <f>2533</f>
        <v>2533</v>
      </c>
      <c r="Q218" s="105">
        <v>0</v>
      </c>
      <c r="R218" s="104">
        <v>0</v>
      </c>
      <c r="S218" s="173">
        <f t="shared" si="45"/>
        <v>27867</v>
      </c>
    </row>
    <row r="219" spans="1:19" ht="50.25" customHeight="1" x14ac:dyDescent="0.25">
      <c r="A219" s="17" t="s">
        <v>154</v>
      </c>
      <c r="B219" s="53" t="s">
        <v>36</v>
      </c>
      <c r="C219" s="109">
        <v>14028</v>
      </c>
      <c r="D219" s="109">
        <v>0</v>
      </c>
      <c r="E219" s="105">
        <v>0</v>
      </c>
      <c r="F219" s="104">
        <f t="shared" si="46"/>
        <v>14028</v>
      </c>
      <c r="G219" s="104">
        <v>0</v>
      </c>
      <c r="H219" s="104">
        <f t="shared" si="34"/>
        <v>14028</v>
      </c>
      <c r="I219" s="104">
        <v>0</v>
      </c>
      <c r="J219" s="104">
        <v>0</v>
      </c>
      <c r="K219" s="144">
        <f t="shared" si="43"/>
        <v>14028</v>
      </c>
      <c r="L219" s="104">
        <v>0</v>
      </c>
      <c r="M219" s="103">
        <v>0</v>
      </c>
      <c r="N219" s="102">
        <f t="shared" si="39"/>
        <v>14028</v>
      </c>
      <c r="O219" s="104">
        <v>0</v>
      </c>
      <c r="P219" s="104">
        <v>0</v>
      </c>
      <c r="Q219" s="105">
        <v>0</v>
      </c>
      <c r="R219" s="104">
        <v>0</v>
      </c>
      <c r="S219" s="173">
        <f t="shared" si="45"/>
        <v>14028</v>
      </c>
    </row>
    <row r="220" spans="1:19" ht="27" customHeight="1" x14ac:dyDescent="0.25">
      <c r="A220" s="17" t="s">
        <v>322</v>
      </c>
      <c r="B220" s="53" t="s">
        <v>36</v>
      </c>
      <c r="C220" s="109">
        <v>0</v>
      </c>
      <c r="D220" s="109"/>
      <c r="E220" s="105"/>
      <c r="F220" s="104">
        <v>0</v>
      </c>
      <c r="G220" s="104">
        <f>15553</f>
        <v>15553</v>
      </c>
      <c r="H220" s="104">
        <f>SUM(F220:G220)</f>
        <v>15553</v>
      </c>
      <c r="I220" s="104">
        <v>0</v>
      </c>
      <c r="J220" s="104">
        <v>0</v>
      </c>
      <c r="K220" s="144">
        <f t="shared" si="43"/>
        <v>15553</v>
      </c>
      <c r="L220" s="104">
        <v>0</v>
      </c>
      <c r="M220" s="103">
        <v>0</v>
      </c>
      <c r="N220" s="102">
        <f t="shared" si="39"/>
        <v>15553</v>
      </c>
      <c r="O220" s="104">
        <v>0</v>
      </c>
      <c r="P220" s="104">
        <f>596</f>
        <v>596</v>
      </c>
      <c r="Q220" s="105">
        <v>0</v>
      </c>
      <c r="R220" s="104">
        <v>0</v>
      </c>
      <c r="S220" s="173">
        <f t="shared" si="45"/>
        <v>16149</v>
      </c>
    </row>
    <row r="221" spans="1:19" ht="48.75" customHeight="1" x14ac:dyDescent="0.25">
      <c r="A221" s="17" t="s">
        <v>155</v>
      </c>
      <c r="B221" s="53" t="s">
        <v>36</v>
      </c>
      <c r="C221" s="109">
        <v>12000</v>
      </c>
      <c r="D221" s="109">
        <v>0</v>
      </c>
      <c r="E221" s="105">
        <v>0</v>
      </c>
      <c r="F221" s="104">
        <f t="shared" si="46"/>
        <v>12000</v>
      </c>
      <c r="G221" s="104">
        <v>0</v>
      </c>
      <c r="H221" s="104">
        <f t="shared" si="34"/>
        <v>12000</v>
      </c>
      <c r="I221" s="104">
        <v>0</v>
      </c>
      <c r="J221" s="104">
        <v>0</v>
      </c>
      <c r="K221" s="144">
        <f t="shared" si="43"/>
        <v>12000</v>
      </c>
      <c r="L221" s="104">
        <v>0</v>
      </c>
      <c r="M221" s="103">
        <v>0</v>
      </c>
      <c r="N221" s="102">
        <f t="shared" si="39"/>
        <v>12000</v>
      </c>
      <c r="O221" s="104">
        <v>0</v>
      </c>
      <c r="P221" s="104">
        <v>0</v>
      </c>
      <c r="Q221" s="105">
        <f>-1000</f>
        <v>-1000</v>
      </c>
      <c r="R221" s="104">
        <v>0</v>
      </c>
      <c r="S221" s="173">
        <f t="shared" si="45"/>
        <v>11000</v>
      </c>
    </row>
    <row r="222" spans="1:19" ht="15" customHeight="1" x14ac:dyDescent="0.25">
      <c r="A222" s="17" t="s">
        <v>321</v>
      </c>
      <c r="B222" s="53" t="s">
        <v>36</v>
      </c>
      <c r="C222" s="109">
        <v>0</v>
      </c>
      <c r="D222" s="109"/>
      <c r="E222" s="105"/>
      <c r="F222" s="104">
        <v>0</v>
      </c>
      <c r="G222" s="104">
        <f>5502</f>
        <v>5502</v>
      </c>
      <c r="H222" s="104">
        <f>SUM(F222:G222)</f>
        <v>5502</v>
      </c>
      <c r="I222" s="104">
        <v>0</v>
      </c>
      <c r="J222" s="104">
        <v>0</v>
      </c>
      <c r="K222" s="144">
        <f t="shared" si="43"/>
        <v>5502</v>
      </c>
      <c r="L222" s="104">
        <v>0</v>
      </c>
      <c r="M222" s="103">
        <v>0</v>
      </c>
      <c r="N222" s="102">
        <f t="shared" si="39"/>
        <v>5502</v>
      </c>
      <c r="O222" s="104">
        <v>0</v>
      </c>
      <c r="P222" s="104">
        <f>373</f>
        <v>373</v>
      </c>
      <c r="Q222" s="105">
        <v>0</v>
      </c>
      <c r="R222" s="104">
        <v>0</v>
      </c>
      <c r="S222" s="173">
        <f t="shared" si="45"/>
        <v>5875</v>
      </c>
    </row>
    <row r="223" spans="1:19" ht="66.75" customHeight="1" x14ac:dyDescent="0.25">
      <c r="A223" s="17" t="s">
        <v>156</v>
      </c>
      <c r="B223" s="53" t="s">
        <v>36</v>
      </c>
      <c r="C223" s="109">
        <v>11200</v>
      </c>
      <c r="D223" s="109">
        <v>0</v>
      </c>
      <c r="E223" s="105">
        <v>0</v>
      </c>
      <c r="F223" s="104">
        <f t="shared" si="46"/>
        <v>11200</v>
      </c>
      <c r="G223" s="104">
        <v>0</v>
      </c>
      <c r="H223" s="104">
        <f t="shared" si="34"/>
        <v>11200</v>
      </c>
      <c r="I223" s="104">
        <v>0</v>
      </c>
      <c r="J223" s="104">
        <v>0</v>
      </c>
      <c r="K223" s="144">
        <f t="shared" si="43"/>
        <v>11200</v>
      </c>
      <c r="L223" s="104">
        <f>240</f>
        <v>240</v>
      </c>
      <c r="M223" s="103">
        <v>0</v>
      </c>
      <c r="N223" s="102">
        <f t="shared" si="39"/>
        <v>11440</v>
      </c>
      <c r="O223" s="104">
        <v>0</v>
      </c>
      <c r="P223" s="104">
        <v>0</v>
      </c>
      <c r="Q223" s="105">
        <v>0</v>
      </c>
      <c r="R223" s="104">
        <v>0</v>
      </c>
      <c r="S223" s="173">
        <f t="shared" si="45"/>
        <v>11440</v>
      </c>
    </row>
    <row r="224" spans="1:19" ht="26.25" customHeight="1" x14ac:dyDescent="0.25">
      <c r="A224" s="17" t="s">
        <v>324</v>
      </c>
      <c r="B224" s="53" t="s">
        <v>36</v>
      </c>
      <c r="C224" s="109">
        <v>0</v>
      </c>
      <c r="D224" s="109"/>
      <c r="E224" s="105"/>
      <c r="F224" s="104">
        <v>0</v>
      </c>
      <c r="G224" s="104">
        <f>6736</f>
        <v>6736</v>
      </c>
      <c r="H224" s="104">
        <f>SUM(F224:G224)</f>
        <v>6736</v>
      </c>
      <c r="I224" s="104">
        <v>0</v>
      </c>
      <c r="J224" s="104">
        <v>0</v>
      </c>
      <c r="K224" s="144">
        <f t="shared" si="43"/>
        <v>6736</v>
      </c>
      <c r="L224" s="104">
        <v>0</v>
      </c>
      <c r="M224" s="103">
        <v>0</v>
      </c>
      <c r="N224" s="102">
        <f t="shared" si="39"/>
        <v>6736</v>
      </c>
      <c r="O224" s="104">
        <v>0</v>
      </c>
      <c r="P224" s="104">
        <f>367</f>
        <v>367</v>
      </c>
      <c r="Q224" s="105">
        <v>0</v>
      </c>
      <c r="R224" s="104">
        <v>0</v>
      </c>
      <c r="S224" s="173">
        <f t="shared" si="45"/>
        <v>7103</v>
      </c>
    </row>
    <row r="225" spans="1:19" ht="21.75" customHeight="1" x14ac:dyDescent="0.25">
      <c r="A225" s="17" t="s">
        <v>310</v>
      </c>
      <c r="B225" s="53" t="s">
        <v>262</v>
      </c>
      <c r="C225" s="109">
        <v>0</v>
      </c>
      <c r="D225" s="109">
        <f>20</f>
        <v>20</v>
      </c>
      <c r="E225" s="105">
        <v>0</v>
      </c>
      <c r="F225" s="104">
        <f>SUM(C225:E225)</f>
        <v>20</v>
      </c>
      <c r="G225" s="104">
        <v>0</v>
      </c>
      <c r="H225" s="104">
        <f t="shared" si="34"/>
        <v>20</v>
      </c>
      <c r="I225" s="104">
        <v>0</v>
      </c>
      <c r="J225" s="104">
        <v>0</v>
      </c>
      <c r="K225" s="144">
        <f t="shared" si="43"/>
        <v>20</v>
      </c>
      <c r="L225" s="104">
        <v>0</v>
      </c>
      <c r="M225" s="103">
        <v>0</v>
      </c>
      <c r="N225" s="102">
        <f t="shared" si="39"/>
        <v>20</v>
      </c>
      <c r="O225" s="104">
        <v>0</v>
      </c>
      <c r="P225" s="104">
        <v>0</v>
      </c>
      <c r="Q225" s="105">
        <v>0</v>
      </c>
      <c r="R225" s="104">
        <v>0</v>
      </c>
      <c r="S225" s="173">
        <f t="shared" si="45"/>
        <v>20</v>
      </c>
    </row>
    <row r="226" spans="1:19" ht="26.25" customHeight="1" x14ac:dyDescent="0.25">
      <c r="A226" s="17" t="s">
        <v>157</v>
      </c>
      <c r="B226" s="53"/>
      <c r="C226" s="109">
        <v>4.5</v>
      </c>
      <c r="D226" s="109">
        <v>0</v>
      </c>
      <c r="E226" s="105">
        <v>0</v>
      </c>
      <c r="F226" s="104">
        <f t="shared" si="46"/>
        <v>4.5</v>
      </c>
      <c r="G226" s="104">
        <v>0</v>
      </c>
      <c r="H226" s="104">
        <f t="shared" si="34"/>
        <v>4.5</v>
      </c>
      <c r="I226" s="104">
        <v>0</v>
      </c>
      <c r="J226" s="104">
        <v>0</v>
      </c>
      <c r="K226" s="144">
        <f t="shared" si="43"/>
        <v>4.5</v>
      </c>
      <c r="L226" s="104">
        <v>0</v>
      </c>
      <c r="M226" s="103">
        <v>0</v>
      </c>
      <c r="N226" s="102">
        <f t="shared" si="39"/>
        <v>4.5</v>
      </c>
      <c r="O226" s="104">
        <v>0</v>
      </c>
      <c r="P226" s="104">
        <v>0</v>
      </c>
      <c r="Q226" s="105">
        <v>0</v>
      </c>
      <c r="R226" s="104">
        <v>0</v>
      </c>
      <c r="S226" s="173">
        <f t="shared" si="45"/>
        <v>4.5</v>
      </c>
    </row>
    <row r="227" spans="1:19" ht="15" customHeight="1" x14ac:dyDescent="0.25">
      <c r="A227" s="17" t="s">
        <v>348</v>
      </c>
      <c r="B227" s="53" t="s">
        <v>36</v>
      </c>
      <c r="C227" s="109">
        <v>0</v>
      </c>
      <c r="D227" s="109"/>
      <c r="E227" s="105"/>
      <c r="F227" s="104"/>
      <c r="G227" s="104"/>
      <c r="H227" s="104">
        <v>0</v>
      </c>
      <c r="I227" s="104">
        <v>0</v>
      </c>
      <c r="J227" s="104">
        <f>50</f>
        <v>50</v>
      </c>
      <c r="K227" s="144">
        <f>SUM(H227:J227)</f>
        <v>50</v>
      </c>
      <c r="L227" s="104">
        <v>0</v>
      </c>
      <c r="M227" s="103">
        <v>0</v>
      </c>
      <c r="N227" s="102">
        <f t="shared" si="39"/>
        <v>50</v>
      </c>
      <c r="O227" s="104">
        <v>0</v>
      </c>
      <c r="P227" s="104">
        <v>0</v>
      </c>
      <c r="Q227" s="105">
        <v>0</v>
      </c>
      <c r="R227" s="104">
        <v>0</v>
      </c>
      <c r="S227" s="173">
        <f t="shared" si="45"/>
        <v>50</v>
      </c>
    </row>
    <row r="228" spans="1:19" ht="15" customHeight="1" x14ac:dyDescent="0.25">
      <c r="A228" s="17" t="s">
        <v>158</v>
      </c>
      <c r="B228" s="53" t="s">
        <v>119</v>
      </c>
      <c r="C228" s="109">
        <v>20</v>
      </c>
      <c r="D228" s="109">
        <v>0</v>
      </c>
      <c r="E228" s="105">
        <v>0</v>
      </c>
      <c r="F228" s="104">
        <f t="shared" si="46"/>
        <v>20</v>
      </c>
      <c r="G228" s="104">
        <v>0</v>
      </c>
      <c r="H228" s="104">
        <f t="shared" si="34"/>
        <v>20</v>
      </c>
      <c r="I228" s="104">
        <v>0</v>
      </c>
      <c r="J228" s="104">
        <v>0</v>
      </c>
      <c r="K228" s="144">
        <f t="shared" si="43"/>
        <v>20</v>
      </c>
      <c r="L228" s="104">
        <v>0</v>
      </c>
      <c r="M228" s="103">
        <v>0</v>
      </c>
      <c r="N228" s="102">
        <f t="shared" si="39"/>
        <v>20</v>
      </c>
      <c r="O228" s="104">
        <v>0</v>
      </c>
      <c r="P228" s="104">
        <v>0</v>
      </c>
      <c r="Q228" s="105">
        <v>0</v>
      </c>
      <c r="R228" s="104">
        <v>0</v>
      </c>
      <c r="S228" s="173">
        <f t="shared" si="45"/>
        <v>20</v>
      </c>
    </row>
    <row r="229" spans="1:19" ht="15" customHeight="1" x14ac:dyDescent="0.25">
      <c r="A229" s="17" t="s">
        <v>159</v>
      </c>
      <c r="B229" s="53" t="s">
        <v>119</v>
      </c>
      <c r="C229" s="109">
        <v>10</v>
      </c>
      <c r="D229" s="109">
        <v>0</v>
      </c>
      <c r="E229" s="105">
        <v>0</v>
      </c>
      <c r="F229" s="104">
        <f t="shared" si="46"/>
        <v>10</v>
      </c>
      <c r="G229" s="104">
        <v>0</v>
      </c>
      <c r="H229" s="104">
        <f t="shared" si="34"/>
        <v>10</v>
      </c>
      <c r="I229" s="104">
        <v>0</v>
      </c>
      <c r="J229" s="104">
        <v>0</v>
      </c>
      <c r="K229" s="144">
        <f t="shared" si="43"/>
        <v>10</v>
      </c>
      <c r="L229" s="104">
        <v>0</v>
      </c>
      <c r="M229" s="103">
        <v>0</v>
      </c>
      <c r="N229" s="102">
        <f t="shared" si="39"/>
        <v>10</v>
      </c>
      <c r="O229" s="104">
        <v>0</v>
      </c>
      <c r="P229" s="104">
        <v>0</v>
      </c>
      <c r="Q229" s="105">
        <v>0</v>
      </c>
      <c r="R229" s="104">
        <v>0</v>
      </c>
      <c r="S229" s="173">
        <f t="shared" si="45"/>
        <v>10</v>
      </c>
    </row>
    <row r="230" spans="1:19" ht="15" customHeight="1" x14ac:dyDescent="0.25">
      <c r="A230" s="54" t="s">
        <v>160</v>
      </c>
      <c r="B230" s="53" t="s">
        <v>119</v>
      </c>
      <c r="C230" s="109">
        <v>70</v>
      </c>
      <c r="D230" s="109">
        <v>0</v>
      </c>
      <c r="E230" s="105">
        <v>0</v>
      </c>
      <c r="F230" s="104">
        <f t="shared" si="46"/>
        <v>70</v>
      </c>
      <c r="G230" s="104">
        <v>0</v>
      </c>
      <c r="H230" s="104">
        <f t="shared" si="34"/>
        <v>70</v>
      </c>
      <c r="I230" s="104">
        <v>0</v>
      </c>
      <c r="J230" s="104">
        <v>0</v>
      </c>
      <c r="K230" s="144">
        <f t="shared" si="43"/>
        <v>70</v>
      </c>
      <c r="L230" s="104">
        <v>0</v>
      </c>
      <c r="M230" s="103">
        <v>0</v>
      </c>
      <c r="N230" s="102">
        <f t="shared" si="39"/>
        <v>70</v>
      </c>
      <c r="O230" s="104">
        <v>0</v>
      </c>
      <c r="P230" s="104">
        <v>0</v>
      </c>
      <c r="Q230" s="105">
        <v>0</v>
      </c>
      <c r="R230" s="104">
        <v>0</v>
      </c>
      <c r="S230" s="173">
        <f t="shared" si="45"/>
        <v>70</v>
      </c>
    </row>
    <row r="231" spans="1:19" ht="15" customHeight="1" x14ac:dyDescent="0.25">
      <c r="A231" s="54" t="s">
        <v>161</v>
      </c>
      <c r="B231" s="53" t="s">
        <v>36</v>
      </c>
      <c r="C231" s="109">
        <v>1050</v>
      </c>
      <c r="D231" s="109">
        <v>0</v>
      </c>
      <c r="E231" s="105">
        <v>0</v>
      </c>
      <c r="F231" s="104">
        <f t="shared" si="46"/>
        <v>1050</v>
      </c>
      <c r="G231" s="108">
        <v>0</v>
      </c>
      <c r="H231" s="108">
        <f t="shared" si="34"/>
        <v>1050</v>
      </c>
      <c r="I231" s="108">
        <v>0</v>
      </c>
      <c r="J231" s="108">
        <v>0</v>
      </c>
      <c r="K231" s="144">
        <f t="shared" si="43"/>
        <v>1050</v>
      </c>
      <c r="L231" s="104">
        <v>0</v>
      </c>
      <c r="M231" s="103">
        <v>0</v>
      </c>
      <c r="N231" s="102">
        <f t="shared" si="39"/>
        <v>1050</v>
      </c>
      <c r="O231" s="104">
        <v>0</v>
      </c>
      <c r="P231" s="104">
        <v>0</v>
      </c>
      <c r="Q231" s="105">
        <v>0</v>
      </c>
      <c r="R231" s="104">
        <v>0</v>
      </c>
      <c r="S231" s="173">
        <f t="shared" si="45"/>
        <v>1050</v>
      </c>
    </row>
    <row r="232" spans="1:19" ht="15" customHeight="1" x14ac:dyDescent="0.25">
      <c r="A232" s="54" t="s">
        <v>162</v>
      </c>
      <c r="B232" s="53" t="s">
        <v>36</v>
      </c>
      <c r="C232" s="109">
        <v>4000</v>
      </c>
      <c r="D232" s="109">
        <v>0</v>
      </c>
      <c r="E232" s="105">
        <v>0</v>
      </c>
      <c r="F232" s="104">
        <f t="shared" si="46"/>
        <v>4000</v>
      </c>
      <c r="G232" s="104">
        <v>0</v>
      </c>
      <c r="H232" s="104">
        <f t="shared" si="34"/>
        <v>4000</v>
      </c>
      <c r="I232" s="104">
        <v>0</v>
      </c>
      <c r="J232" s="104">
        <v>0</v>
      </c>
      <c r="K232" s="144">
        <f t="shared" si="43"/>
        <v>4000</v>
      </c>
      <c r="L232" s="104">
        <v>0</v>
      </c>
      <c r="M232" s="103">
        <v>0</v>
      </c>
      <c r="N232" s="102">
        <f t="shared" si="39"/>
        <v>4000</v>
      </c>
      <c r="O232" s="104">
        <v>0</v>
      </c>
      <c r="P232" s="104">
        <v>0</v>
      </c>
      <c r="Q232" s="105">
        <v>0</v>
      </c>
      <c r="R232" s="104">
        <v>0</v>
      </c>
      <c r="S232" s="173">
        <f t="shared" si="45"/>
        <v>4000</v>
      </c>
    </row>
    <row r="233" spans="1:19" ht="15" customHeight="1" x14ac:dyDescent="0.25">
      <c r="A233" s="54" t="s">
        <v>163</v>
      </c>
      <c r="B233" s="53" t="s">
        <v>119</v>
      </c>
      <c r="C233" s="109">
        <v>80</v>
      </c>
      <c r="D233" s="109">
        <v>0</v>
      </c>
      <c r="E233" s="105">
        <v>0</v>
      </c>
      <c r="F233" s="104">
        <f t="shared" si="46"/>
        <v>80</v>
      </c>
      <c r="G233" s="104">
        <v>0</v>
      </c>
      <c r="H233" s="104">
        <f t="shared" si="34"/>
        <v>80</v>
      </c>
      <c r="I233" s="104">
        <v>0</v>
      </c>
      <c r="J233" s="104">
        <v>0</v>
      </c>
      <c r="K233" s="144">
        <f t="shared" si="43"/>
        <v>80</v>
      </c>
      <c r="L233" s="104">
        <v>0</v>
      </c>
      <c r="M233" s="103">
        <v>0</v>
      </c>
      <c r="N233" s="102">
        <f t="shared" si="39"/>
        <v>80</v>
      </c>
      <c r="O233" s="104">
        <v>0</v>
      </c>
      <c r="P233" s="104">
        <v>0</v>
      </c>
      <c r="Q233" s="105">
        <v>0</v>
      </c>
      <c r="R233" s="104">
        <v>0</v>
      </c>
      <c r="S233" s="173">
        <f t="shared" si="45"/>
        <v>80</v>
      </c>
    </row>
    <row r="234" spans="1:19" ht="15" customHeight="1" x14ac:dyDescent="0.25">
      <c r="A234" s="54" t="s">
        <v>385</v>
      </c>
      <c r="B234" s="53" t="s">
        <v>36</v>
      </c>
      <c r="C234" s="109">
        <v>0</v>
      </c>
      <c r="D234" s="109"/>
      <c r="E234" s="105"/>
      <c r="F234" s="104"/>
      <c r="G234" s="104"/>
      <c r="H234" s="104"/>
      <c r="I234" s="104"/>
      <c r="J234" s="104"/>
      <c r="K234" s="144"/>
      <c r="L234" s="104"/>
      <c r="M234" s="103"/>
      <c r="N234" s="102">
        <v>0</v>
      </c>
      <c r="O234" s="104">
        <v>0</v>
      </c>
      <c r="P234" s="104">
        <f>50</f>
        <v>50</v>
      </c>
      <c r="Q234" s="105">
        <v>0</v>
      </c>
      <c r="R234" s="104">
        <v>0</v>
      </c>
      <c r="S234" s="173">
        <f t="shared" si="45"/>
        <v>50</v>
      </c>
    </row>
    <row r="235" spans="1:19" ht="15" customHeight="1" x14ac:dyDescent="0.25">
      <c r="A235" s="54" t="s">
        <v>164</v>
      </c>
      <c r="B235" s="53" t="s">
        <v>36</v>
      </c>
      <c r="C235" s="109">
        <v>50</v>
      </c>
      <c r="D235" s="109">
        <v>0</v>
      </c>
      <c r="E235" s="105">
        <v>0</v>
      </c>
      <c r="F235" s="104">
        <f t="shared" si="46"/>
        <v>50</v>
      </c>
      <c r="G235" s="104">
        <v>0</v>
      </c>
      <c r="H235" s="104">
        <f t="shared" si="34"/>
        <v>50</v>
      </c>
      <c r="I235" s="104">
        <v>0</v>
      </c>
      <c r="J235" s="104">
        <v>0</v>
      </c>
      <c r="K235" s="144">
        <f t="shared" si="43"/>
        <v>50</v>
      </c>
      <c r="L235" s="104">
        <v>0</v>
      </c>
      <c r="M235" s="103">
        <v>0</v>
      </c>
      <c r="N235" s="102">
        <f t="shared" si="39"/>
        <v>50</v>
      </c>
      <c r="O235" s="104">
        <v>0</v>
      </c>
      <c r="P235" s="104">
        <v>0</v>
      </c>
      <c r="Q235" s="105">
        <v>0</v>
      </c>
      <c r="R235" s="104">
        <v>0</v>
      </c>
      <c r="S235" s="173">
        <f t="shared" si="45"/>
        <v>50</v>
      </c>
    </row>
    <row r="236" spans="1:19" ht="15" customHeight="1" x14ac:dyDescent="0.25">
      <c r="A236" s="54" t="s">
        <v>165</v>
      </c>
      <c r="B236" s="53" t="s">
        <v>36</v>
      </c>
      <c r="C236" s="109">
        <v>100</v>
      </c>
      <c r="D236" s="109">
        <v>0</v>
      </c>
      <c r="E236" s="105">
        <v>0</v>
      </c>
      <c r="F236" s="104">
        <f t="shared" si="46"/>
        <v>100</v>
      </c>
      <c r="G236" s="104">
        <v>0</v>
      </c>
      <c r="H236" s="104">
        <f t="shared" si="34"/>
        <v>100</v>
      </c>
      <c r="I236" s="104">
        <v>0</v>
      </c>
      <c r="J236" s="104">
        <v>0</v>
      </c>
      <c r="K236" s="144">
        <f t="shared" si="43"/>
        <v>100</v>
      </c>
      <c r="L236" s="104">
        <v>0</v>
      </c>
      <c r="M236" s="103">
        <v>0</v>
      </c>
      <c r="N236" s="102">
        <f t="shared" si="39"/>
        <v>100</v>
      </c>
      <c r="O236" s="104">
        <v>0</v>
      </c>
      <c r="P236" s="104">
        <v>0</v>
      </c>
      <c r="Q236" s="105">
        <v>0</v>
      </c>
      <c r="R236" s="104">
        <v>0</v>
      </c>
      <c r="S236" s="173">
        <f t="shared" si="45"/>
        <v>100</v>
      </c>
    </row>
    <row r="237" spans="1:19" ht="15" customHeight="1" x14ac:dyDescent="0.25">
      <c r="A237" s="54" t="s">
        <v>166</v>
      </c>
      <c r="B237" s="53" t="s">
        <v>36</v>
      </c>
      <c r="C237" s="109">
        <v>650</v>
      </c>
      <c r="D237" s="109">
        <v>0</v>
      </c>
      <c r="E237" s="105">
        <v>0</v>
      </c>
      <c r="F237" s="104">
        <f t="shared" si="46"/>
        <v>650</v>
      </c>
      <c r="G237" s="104">
        <v>0</v>
      </c>
      <c r="H237" s="104">
        <f t="shared" si="34"/>
        <v>650</v>
      </c>
      <c r="I237" s="104">
        <v>0</v>
      </c>
      <c r="J237" s="104">
        <v>0</v>
      </c>
      <c r="K237" s="144">
        <f t="shared" si="43"/>
        <v>650</v>
      </c>
      <c r="L237" s="104">
        <v>0</v>
      </c>
      <c r="M237" s="103">
        <v>0</v>
      </c>
      <c r="N237" s="102">
        <f t="shared" si="39"/>
        <v>650</v>
      </c>
      <c r="O237" s="104">
        <v>0</v>
      </c>
      <c r="P237" s="104">
        <v>0</v>
      </c>
      <c r="Q237" s="105">
        <v>0</v>
      </c>
      <c r="R237" s="104">
        <v>0</v>
      </c>
      <c r="S237" s="173">
        <f t="shared" si="45"/>
        <v>650</v>
      </c>
    </row>
    <row r="238" spans="1:19" ht="15" customHeight="1" x14ac:dyDescent="0.25">
      <c r="A238" s="61" t="s">
        <v>167</v>
      </c>
      <c r="B238" s="53" t="s">
        <v>119</v>
      </c>
      <c r="C238" s="109">
        <v>40</v>
      </c>
      <c r="D238" s="109">
        <v>0</v>
      </c>
      <c r="E238" s="105">
        <v>0</v>
      </c>
      <c r="F238" s="104">
        <f t="shared" si="46"/>
        <v>40</v>
      </c>
      <c r="G238" s="104">
        <v>0</v>
      </c>
      <c r="H238" s="104">
        <f t="shared" si="34"/>
        <v>40</v>
      </c>
      <c r="I238" s="104">
        <v>0</v>
      </c>
      <c r="J238" s="104">
        <v>0</v>
      </c>
      <c r="K238" s="144">
        <f t="shared" si="43"/>
        <v>40</v>
      </c>
      <c r="L238" s="104">
        <v>0</v>
      </c>
      <c r="M238" s="103">
        <v>0</v>
      </c>
      <c r="N238" s="102">
        <f t="shared" si="39"/>
        <v>40</v>
      </c>
      <c r="O238" s="104">
        <v>0</v>
      </c>
      <c r="P238" s="104">
        <v>0</v>
      </c>
      <c r="Q238" s="105">
        <v>0</v>
      </c>
      <c r="R238" s="104">
        <v>0</v>
      </c>
      <c r="S238" s="173">
        <f t="shared" si="45"/>
        <v>40</v>
      </c>
    </row>
    <row r="239" spans="1:19" ht="15" customHeight="1" x14ac:dyDescent="0.25">
      <c r="A239" s="61" t="s">
        <v>167</v>
      </c>
      <c r="B239" s="53" t="s">
        <v>362</v>
      </c>
      <c r="C239" s="109">
        <v>0</v>
      </c>
      <c r="D239" s="109"/>
      <c r="E239" s="105"/>
      <c r="F239" s="104"/>
      <c r="G239" s="104"/>
      <c r="H239" s="104"/>
      <c r="I239" s="104"/>
      <c r="J239" s="104"/>
      <c r="K239" s="144">
        <v>0</v>
      </c>
      <c r="L239" s="104">
        <v>0</v>
      </c>
      <c r="M239" s="103">
        <f>105</f>
        <v>105</v>
      </c>
      <c r="N239" s="102">
        <f>SUM(K239:M239)</f>
        <v>105</v>
      </c>
      <c r="O239" s="104">
        <v>0</v>
      </c>
      <c r="P239" s="104">
        <v>0</v>
      </c>
      <c r="Q239" s="105">
        <v>0</v>
      </c>
      <c r="R239" s="104">
        <v>0</v>
      </c>
      <c r="S239" s="173">
        <f t="shared" si="45"/>
        <v>105</v>
      </c>
    </row>
    <row r="240" spans="1:19" ht="15" customHeight="1" x14ac:dyDescent="0.25">
      <c r="A240" s="17" t="s">
        <v>168</v>
      </c>
      <c r="B240" s="53" t="s">
        <v>119</v>
      </c>
      <c r="C240" s="109">
        <v>20</v>
      </c>
      <c r="D240" s="109">
        <v>0</v>
      </c>
      <c r="E240" s="105">
        <v>0</v>
      </c>
      <c r="F240" s="104">
        <f t="shared" si="46"/>
        <v>20</v>
      </c>
      <c r="G240" s="104">
        <v>0</v>
      </c>
      <c r="H240" s="104">
        <f t="shared" si="34"/>
        <v>20</v>
      </c>
      <c r="I240" s="104">
        <v>0</v>
      </c>
      <c r="J240" s="104">
        <v>0</v>
      </c>
      <c r="K240" s="144">
        <f t="shared" si="43"/>
        <v>20</v>
      </c>
      <c r="L240" s="104">
        <v>0</v>
      </c>
      <c r="M240" s="103">
        <v>0</v>
      </c>
      <c r="N240" s="102">
        <f t="shared" si="39"/>
        <v>20</v>
      </c>
      <c r="O240" s="104">
        <v>0</v>
      </c>
      <c r="P240" s="104">
        <v>0</v>
      </c>
      <c r="Q240" s="105">
        <v>0</v>
      </c>
      <c r="R240" s="104">
        <v>0</v>
      </c>
      <c r="S240" s="173">
        <f t="shared" si="45"/>
        <v>20</v>
      </c>
    </row>
    <row r="241" spans="1:19" ht="51.75" customHeight="1" x14ac:dyDescent="0.25">
      <c r="A241" s="61" t="s">
        <v>169</v>
      </c>
      <c r="B241" s="53" t="s">
        <v>112</v>
      </c>
      <c r="C241" s="109">
        <v>22</v>
      </c>
      <c r="D241" s="109">
        <v>0</v>
      </c>
      <c r="E241" s="105">
        <v>0</v>
      </c>
      <c r="F241" s="104">
        <f t="shared" si="46"/>
        <v>22</v>
      </c>
      <c r="G241" s="104">
        <v>0</v>
      </c>
      <c r="H241" s="104">
        <f t="shared" si="34"/>
        <v>22</v>
      </c>
      <c r="I241" s="104">
        <v>0</v>
      </c>
      <c r="J241" s="104">
        <v>0</v>
      </c>
      <c r="K241" s="144">
        <f t="shared" si="43"/>
        <v>22</v>
      </c>
      <c r="L241" s="104">
        <f>-13.81</f>
        <v>-13.81</v>
      </c>
      <c r="M241" s="103">
        <v>0</v>
      </c>
      <c r="N241" s="102">
        <f t="shared" si="39"/>
        <v>8.19</v>
      </c>
      <c r="O241" s="104">
        <v>0</v>
      </c>
      <c r="P241" s="104">
        <v>0</v>
      </c>
      <c r="Q241" s="105">
        <v>0</v>
      </c>
      <c r="R241" s="104">
        <v>0</v>
      </c>
      <c r="S241" s="173">
        <f t="shared" si="45"/>
        <v>8.19</v>
      </c>
    </row>
    <row r="242" spans="1:19" ht="18.75" customHeight="1" x14ac:dyDescent="0.25">
      <c r="A242" s="61" t="s">
        <v>170</v>
      </c>
      <c r="B242" s="53" t="s">
        <v>119</v>
      </c>
      <c r="C242" s="109">
        <v>10</v>
      </c>
      <c r="D242" s="109">
        <v>0</v>
      </c>
      <c r="E242" s="105">
        <v>0</v>
      </c>
      <c r="F242" s="104">
        <f t="shared" si="46"/>
        <v>10</v>
      </c>
      <c r="G242" s="104">
        <v>0</v>
      </c>
      <c r="H242" s="104">
        <f t="shared" si="34"/>
        <v>10</v>
      </c>
      <c r="I242" s="104">
        <v>0</v>
      </c>
      <c r="J242" s="104">
        <v>0</v>
      </c>
      <c r="K242" s="144">
        <f t="shared" si="43"/>
        <v>10</v>
      </c>
      <c r="L242" s="104">
        <v>0</v>
      </c>
      <c r="M242" s="103">
        <v>0</v>
      </c>
      <c r="N242" s="102">
        <f t="shared" si="39"/>
        <v>10</v>
      </c>
      <c r="O242" s="104">
        <v>0</v>
      </c>
      <c r="P242" s="104">
        <v>0</v>
      </c>
      <c r="Q242" s="105">
        <v>0</v>
      </c>
      <c r="R242" s="104">
        <v>0</v>
      </c>
      <c r="S242" s="173">
        <f t="shared" ref="S242:S262" si="47">SUM(N242:R242)</f>
        <v>10</v>
      </c>
    </row>
    <row r="243" spans="1:19" ht="18.75" customHeight="1" x14ac:dyDescent="0.25">
      <c r="A243" s="61" t="s">
        <v>386</v>
      </c>
      <c r="B243" s="53" t="s">
        <v>387</v>
      </c>
      <c r="C243" s="109">
        <v>0</v>
      </c>
      <c r="D243" s="109"/>
      <c r="E243" s="105"/>
      <c r="F243" s="104"/>
      <c r="G243" s="104"/>
      <c r="H243" s="104"/>
      <c r="I243" s="104"/>
      <c r="J243" s="104"/>
      <c r="K243" s="144"/>
      <c r="L243" s="104"/>
      <c r="M243" s="103"/>
      <c r="N243" s="102">
        <v>0</v>
      </c>
      <c r="O243" s="104">
        <v>0</v>
      </c>
      <c r="P243" s="104">
        <v>10</v>
      </c>
      <c r="Q243" s="105">
        <v>0</v>
      </c>
      <c r="R243" s="104">
        <v>0</v>
      </c>
      <c r="S243" s="173">
        <f t="shared" si="47"/>
        <v>10</v>
      </c>
    </row>
    <row r="244" spans="1:19" ht="15" customHeight="1" x14ac:dyDescent="0.25">
      <c r="A244" s="61" t="s">
        <v>171</v>
      </c>
      <c r="B244" s="53" t="s">
        <v>36</v>
      </c>
      <c r="C244" s="109">
        <v>50</v>
      </c>
      <c r="D244" s="109">
        <v>0</v>
      </c>
      <c r="E244" s="105">
        <v>0</v>
      </c>
      <c r="F244" s="104">
        <f t="shared" si="46"/>
        <v>50</v>
      </c>
      <c r="G244" s="104">
        <v>0</v>
      </c>
      <c r="H244" s="104">
        <f t="shared" si="34"/>
        <v>50</v>
      </c>
      <c r="I244" s="104">
        <v>0</v>
      </c>
      <c r="J244" s="104">
        <v>0</v>
      </c>
      <c r="K244" s="144">
        <f t="shared" si="43"/>
        <v>50</v>
      </c>
      <c r="L244" s="104">
        <v>0</v>
      </c>
      <c r="M244" s="103">
        <v>0</v>
      </c>
      <c r="N244" s="102">
        <f t="shared" si="39"/>
        <v>50</v>
      </c>
      <c r="O244" s="104">
        <v>0</v>
      </c>
      <c r="P244" s="104">
        <v>0</v>
      </c>
      <c r="Q244" s="105">
        <v>0</v>
      </c>
      <c r="R244" s="104">
        <v>0</v>
      </c>
      <c r="S244" s="173">
        <f t="shared" si="47"/>
        <v>50</v>
      </c>
    </row>
    <row r="245" spans="1:19" ht="23.25" customHeight="1" x14ac:dyDescent="0.25">
      <c r="A245" s="61" t="s">
        <v>316</v>
      </c>
      <c r="B245" s="53" t="s">
        <v>36</v>
      </c>
      <c r="C245" s="109">
        <v>0</v>
      </c>
      <c r="D245" s="109"/>
      <c r="E245" s="105"/>
      <c r="F245" s="104">
        <v>0</v>
      </c>
      <c r="G245" s="104">
        <f>250</f>
        <v>250</v>
      </c>
      <c r="H245" s="104">
        <f>SUM(F245:G245)</f>
        <v>250</v>
      </c>
      <c r="I245" s="104">
        <v>0</v>
      </c>
      <c r="J245" s="104">
        <v>0</v>
      </c>
      <c r="K245" s="144">
        <f t="shared" si="43"/>
        <v>250</v>
      </c>
      <c r="L245" s="104">
        <v>0</v>
      </c>
      <c r="M245" s="103">
        <v>0</v>
      </c>
      <c r="N245" s="102">
        <f t="shared" si="39"/>
        <v>250</v>
      </c>
      <c r="O245" s="104">
        <v>0</v>
      </c>
      <c r="P245" s="104">
        <v>0</v>
      </c>
      <c r="Q245" s="105">
        <v>0</v>
      </c>
      <c r="R245" s="104">
        <v>0</v>
      </c>
      <c r="S245" s="173">
        <f t="shared" si="47"/>
        <v>250</v>
      </c>
    </row>
    <row r="246" spans="1:19" ht="26.25" customHeight="1" x14ac:dyDescent="0.25">
      <c r="A246" s="61" t="s">
        <v>328</v>
      </c>
      <c r="B246" s="53" t="s">
        <v>36</v>
      </c>
      <c r="C246" s="109">
        <v>0</v>
      </c>
      <c r="D246" s="109"/>
      <c r="E246" s="105"/>
      <c r="F246" s="104">
        <v>0</v>
      </c>
      <c r="G246" s="104">
        <f>20</f>
        <v>20</v>
      </c>
      <c r="H246" s="104">
        <f>SUM(F246:G246)</f>
        <v>20</v>
      </c>
      <c r="I246" s="104">
        <v>0</v>
      </c>
      <c r="J246" s="104">
        <v>0</v>
      </c>
      <c r="K246" s="144">
        <f t="shared" si="43"/>
        <v>20</v>
      </c>
      <c r="L246" s="104">
        <v>0</v>
      </c>
      <c r="M246" s="103">
        <v>0</v>
      </c>
      <c r="N246" s="102">
        <f t="shared" si="39"/>
        <v>20</v>
      </c>
      <c r="O246" s="104">
        <v>0</v>
      </c>
      <c r="P246" s="104">
        <v>0</v>
      </c>
      <c r="Q246" s="105">
        <v>0</v>
      </c>
      <c r="R246" s="104">
        <v>0</v>
      </c>
      <c r="S246" s="173">
        <f t="shared" si="47"/>
        <v>20</v>
      </c>
    </row>
    <row r="247" spans="1:19" ht="25.5" customHeight="1" x14ac:dyDescent="0.25">
      <c r="A247" s="61" t="s">
        <v>329</v>
      </c>
      <c r="B247" s="53" t="s">
        <v>330</v>
      </c>
      <c r="C247" s="109">
        <v>0</v>
      </c>
      <c r="D247" s="109"/>
      <c r="E247" s="105"/>
      <c r="F247" s="104">
        <v>0</v>
      </c>
      <c r="G247" s="104">
        <f>33</f>
        <v>33</v>
      </c>
      <c r="H247" s="104">
        <f>SUM(F247:G247)</f>
        <v>33</v>
      </c>
      <c r="I247" s="104">
        <v>0</v>
      </c>
      <c r="J247" s="104">
        <v>0</v>
      </c>
      <c r="K247" s="144">
        <f t="shared" si="43"/>
        <v>33</v>
      </c>
      <c r="L247" s="104">
        <v>0</v>
      </c>
      <c r="M247" s="103">
        <v>0</v>
      </c>
      <c r="N247" s="102">
        <f t="shared" si="39"/>
        <v>33</v>
      </c>
      <c r="O247" s="104">
        <v>0</v>
      </c>
      <c r="P247" s="104">
        <v>0</v>
      </c>
      <c r="Q247" s="105">
        <v>0</v>
      </c>
      <c r="R247" s="104">
        <v>0</v>
      </c>
      <c r="S247" s="173">
        <f t="shared" si="47"/>
        <v>33</v>
      </c>
    </row>
    <row r="248" spans="1:19" ht="23.25" customHeight="1" x14ac:dyDescent="0.25">
      <c r="A248" s="17" t="s">
        <v>172</v>
      </c>
      <c r="B248" s="53" t="s">
        <v>36</v>
      </c>
      <c r="C248" s="109">
        <v>668</v>
      </c>
      <c r="D248" s="109">
        <v>0</v>
      </c>
      <c r="E248" s="105">
        <v>0</v>
      </c>
      <c r="F248" s="104">
        <f t="shared" si="46"/>
        <v>668</v>
      </c>
      <c r="G248" s="104">
        <v>0</v>
      </c>
      <c r="H248" s="104">
        <f t="shared" si="34"/>
        <v>668</v>
      </c>
      <c r="I248" s="104">
        <v>0</v>
      </c>
      <c r="J248" s="104">
        <v>0</v>
      </c>
      <c r="K248" s="144">
        <f t="shared" si="43"/>
        <v>668</v>
      </c>
      <c r="L248" s="104">
        <v>0</v>
      </c>
      <c r="M248" s="103">
        <v>0</v>
      </c>
      <c r="N248" s="102">
        <f t="shared" si="39"/>
        <v>668</v>
      </c>
      <c r="O248" s="104">
        <v>0</v>
      </c>
      <c r="P248" s="104">
        <v>0</v>
      </c>
      <c r="Q248" s="105">
        <v>0</v>
      </c>
      <c r="R248" s="104">
        <v>0</v>
      </c>
      <c r="S248" s="173">
        <f t="shared" si="47"/>
        <v>668</v>
      </c>
    </row>
    <row r="249" spans="1:19" ht="15" customHeight="1" x14ac:dyDescent="0.25">
      <c r="A249" s="17" t="s">
        <v>173</v>
      </c>
      <c r="B249" s="53" t="s">
        <v>36</v>
      </c>
      <c r="C249" s="109">
        <v>526</v>
      </c>
      <c r="D249" s="109">
        <v>0</v>
      </c>
      <c r="E249" s="105">
        <v>0</v>
      </c>
      <c r="F249" s="104">
        <f t="shared" si="46"/>
        <v>526</v>
      </c>
      <c r="G249" s="104">
        <v>0</v>
      </c>
      <c r="H249" s="104">
        <f t="shared" si="34"/>
        <v>526</v>
      </c>
      <c r="I249" s="104">
        <v>0</v>
      </c>
      <c r="J249" s="104">
        <v>0</v>
      </c>
      <c r="K249" s="144">
        <f t="shared" si="43"/>
        <v>526</v>
      </c>
      <c r="L249" s="104">
        <v>0</v>
      </c>
      <c r="M249" s="103">
        <v>0</v>
      </c>
      <c r="N249" s="102">
        <f t="shared" si="39"/>
        <v>526</v>
      </c>
      <c r="O249" s="104">
        <v>0</v>
      </c>
      <c r="P249" s="104">
        <v>0</v>
      </c>
      <c r="Q249" s="105">
        <v>0</v>
      </c>
      <c r="R249" s="104">
        <v>0</v>
      </c>
      <c r="S249" s="173">
        <f t="shared" si="47"/>
        <v>526</v>
      </c>
    </row>
    <row r="250" spans="1:19" ht="15" customHeight="1" x14ac:dyDescent="0.25">
      <c r="A250" s="17" t="s">
        <v>174</v>
      </c>
      <c r="B250" s="53" t="s">
        <v>36</v>
      </c>
      <c r="C250" s="109">
        <v>110</v>
      </c>
      <c r="D250" s="109">
        <v>0</v>
      </c>
      <c r="E250" s="105">
        <v>0</v>
      </c>
      <c r="F250" s="104">
        <f t="shared" si="46"/>
        <v>110</v>
      </c>
      <c r="G250" s="104">
        <v>0</v>
      </c>
      <c r="H250" s="104">
        <f t="shared" si="34"/>
        <v>110</v>
      </c>
      <c r="I250" s="104">
        <v>0</v>
      </c>
      <c r="J250" s="104">
        <v>0</v>
      </c>
      <c r="K250" s="144">
        <f t="shared" si="43"/>
        <v>110</v>
      </c>
      <c r="L250" s="104">
        <v>0</v>
      </c>
      <c r="M250" s="103">
        <v>0</v>
      </c>
      <c r="N250" s="102">
        <f t="shared" si="39"/>
        <v>110</v>
      </c>
      <c r="O250" s="104">
        <v>0</v>
      </c>
      <c r="P250" s="104">
        <v>0</v>
      </c>
      <c r="Q250" s="105">
        <v>0</v>
      </c>
      <c r="R250" s="104">
        <v>0</v>
      </c>
      <c r="S250" s="173">
        <f t="shared" si="47"/>
        <v>110</v>
      </c>
    </row>
    <row r="251" spans="1:19" ht="15" customHeight="1" x14ac:dyDescent="0.25">
      <c r="A251" s="17" t="s">
        <v>175</v>
      </c>
      <c r="B251" s="53" t="s">
        <v>36</v>
      </c>
      <c r="C251" s="109">
        <v>476</v>
      </c>
      <c r="D251" s="109">
        <v>0</v>
      </c>
      <c r="E251" s="105">
        <v>0</v>
      </c>
      <c r="F251" s="104">
        <f t="shared" si="46"/>
        <v>476</v>
      </c>
      <c r="G251" s="104">
        <v>0</v>
      </c>
      <c r="H251" s="104">
        <f t="shared" si="34"/>
        <v>476</v>
      </c>
      <c r="I251" s="104">
        <v>0</v>
      </c>
      <c r="J251" s="104">
        <v>0</v>
      </c>
      <c r="K251" s="144">
        <f t="shared" si="43"/>
        <v>476</v>
      </c>
      <c r="L251" s="104">
        <v>0</v>
      </c>
      <c r="M251" s="103">
        <v>0</v>
      </c>
      <c r="N251" s="102">
        <f t="shared" si="39"/>
        <v>476</v>
      </c>
      <c r="O251" s="104">
        <v>0</v>
      </c>
      <c r="P251" s="104">
        <v>0</v>
      </c>
      <c r="Q251" s="105">
        <v>0</v>
      </c>
      <c r="R251" s="104">
        <v>0</v>
      </c>
      <c r="S251" s="173">
        <f t="shared" si="47"/>
        <v>476</v>
      </c>
    </row>
    <row r="252" spans="1:19" ht="15" customHeight="1" x14ac:dyDescent="0.25">
      <c r="A252" s="17" t="s">
        <v>176</v>
      </c>
      <c r="B252" s="53" t="s">
        <v>36</v>
      </c>
      <c r="C252" s="109">
        <v>100</v>
      </c>
      <c r="D252" s="109">
        <v>0</v>
      </c>
      <c r="E252" s="105">
        <v>0</v>
      </c>
      <c r="F252" s="104">
        <f t="shared" si="46"/>
        <v>100</v>
      </c>
      <c r="G252" s="104">
        <v>50</v>
      </c>
      <c r="H252" s="104">
        <f t="shared" si="34"/>
        <v>150</v>
      </c>
      <c r="I252" s="104">
        <v>0</v>
      </c>
      <c r="J252" s="104">
        <v>0</v>
      </c>
      <c r="K252" s="144">
        <f t="shared" si="43"/>
        <v>150</v>
      </c>
      <c r="L252" s="104">
        <v>0</v>
      </c>
      <c r="M252" s="103">
        <v>0</v>
      </c>
      <c r="N252" s="102">
        <f t="shared" si="39"/>
        <v>150</v>
      </c>
      <c r="O252" s="104">
        <v>0</v>
      </c>
      <c r="P252" s="104">
        <v>0</v>
      </c>
      <c r="Q252" s="105">
        <v>0</v>
      </c>
      <c r="R252" s="104">
        <v>0</v>
      </c>
      <c r="S252" s="173">
        <f t="shared" si="47"/>
        <v>150</v>
      </c>
    </row>
    <row r="253" spans="1:19" ht="24.75" customHeight="1" x14ac:dyDescent="0.25">
      <c r="A253" s="17" t="s">
        <v>347</v>
      </c>
      <c r="B253" s="53" t="s">
        <v>36</v>
      </c>
      <c r="C253" s="109">
        <v>0</v>
      </c>
      <c r="D253" s="109"/>
      <c r="E253" s="105"/>
      <c r="F253" s="104"/>
      <c r="G253" s="104"/>
      <c r="H253" s="104">
        <v>0</v>
      </c>
      <c r="I253" s="104">
        <v>0</v>
      </c>
      <c r="J253" s="104">
        <f>20</f>
        <v>20</v>
      </c>
      <c r="K253" s="144">
        <f>SUM(H253:J253)</f>
        <v>20</v>
      </c>
      <c r="L253" s="104">
        <v>0</v>
      </c>
      <c r="M253" s="103">
        <v>0</v>
      </c>
      <c r="N253" s="102">
        <f t="shared" si="39"/>
        <v>20</v>
      </c>
      <c r="O253" s="104">
        <v>0</v>
      </c>
      <c r="P253" s="104">
        <v>0</v>
      </c>
      <c r="Q253" s="105">
        <v>0</v>
      </c>
      <c r="R253" s="104">
        <v>0</v>
      </c>
      <c r="S253" s="173">
        <f t="shared" si="47"/>
        <v>20</v>
      </c>
    </row>
    <row r="254" spans="1:19" ht="13.5" customHeight="1" x14ac:dyDescent="0.25">
      <c r="A254" s="33" t="s">
        <v>177</v>
      </c>
      <c r="B254" s="53" t="s">
        <v>36</v>
      </c>
      <c r="C254" s="109">
        <v>200</v>
      </c>
      <c r="D254" s="109">
        <v>0</v>
      </c>
      <c r="E254" s="105">
        <v>0</v>
      </c>
      <c r="F254" s="104">
        <f t="shared" si="46"/>
        <v>200</v>
      </c>
      <c r="G254" s="104">
        <v>0</v>
      </c>
      <c r="H254" s="104">
        <f t="shared" ref="H254:H332" si="48">SUM(F254:G254)</f>
        <v>200</v>
      </c>
      <c r="I254" s="104">
        <v>0</v>
      </c>
      <c r="J254" s="104">
        <v>0</v>
      </c>
      <c r="K254" s="144">
        <f t="shared" si="43"/>
        <v>200</v>
      </c>
      <c r="L254" s="104">
        <v>0</v>
      </c>
      <c r="M254" s="103">
        <v>0</v>
      </c>
      <c r="N254" s="102">
        <f t="shared" si="39"/>
        <v>200</v>
      </c>
      <c r="O254" s="104">
        <v>0</v>
      </c>
      <c r="P254" s="104">
        <v>0</v>
      </c>
      <c r="Q254" s="105">
        <v>0</v>
      </c>
      <c r="R254" s="104">
        <v>0</v>
      </c>
      <c r="S254" s="173">
        <f t="shared" si="47"/>
        <v>200</v>
      </c>
    </row>
    <row r="255" spans="1:19" ht="15" customHeight="1" x14ac:dyDescent="0.25">
      <c r="A255" s="17" t="s">
        <v>178</v>
      </c>
      <c r="B255" s="53" t="s">
        <v>36</v>
      </c>
      <c r="C255" s="109">
        <v>100</v>
      </c>
      <c r="D255" s="109">
        <v>0</v>
      </c>
      <c r="E255" s="105">
        <v>0</v>
      </c>
      <c r="F255" s="104">
        <f t="shared" si="46"/>
        <v>100</v>
      </c>
      <c r="G255" s="104">
        <v>0</v>
      </c>
      <c r="H255" s="104">
        <f t="shared" si="48"/>
        <v>100</v>
      </c>
      <c r="I255" s="104">
        <v>0</v>
      </c>
      <c r="J255" s="104">
        <v>0</v>
      </c>
      <c r="K255" s="144">
        <f t="shared" si="43"/>
        <v>100</v>
      </c>
      <c r="L255" s="104">
        <v>0</v>
      </c>
      <c r="M255" s="103">
        <v>0</v>
      </c>
      <c r="N255" s="102">
        <f>SUM(K255:M255)</f>
        <v>100</v>
      </c>
      <c r="O255" s="104">
        <v>0</v>
      </c>
      <c r="P255" s="104">
        <v>0</v>
      </c>
      <c r="Q255" s="105">
        <v>0</v>
      </c>
      <c r="R255" s="104">
        <v>0</v>
      </c>
      <c r="S255" s="173">
        <f t="shared" si="47"/>
        <v>100</v>
      </c>
    </row>
    <row r="256" spans="1:19" ht="15" customHeight="1" x14ac:dyDescent="0.25">
      <c r="A256" s="17" t="s">
        <v>368</v>
      </c>
      <c r="B256" s="53" t="s">
        <v>332</v>
      </c>
      <c r="C256" s="109">
        <v>0</v>
      </c>
      <c r="D256" s="109"/>
      <c r="E256" s="105"/>
      <c r="F256" s="104"/>
      <c r="G256" s="104"/>
      <c r="H256" s="104"/>
      <c r="I256" s="104"/>
      <c r="J256" s="104"/>
      <c r="K256" s="115">
        <v>0</v>
      </c>
      <c r="L256" s="104">
        <v>0</v>
      </c>
      <c r="M256" s="105">
        <f>60</f>
        <v>60</v>
      </c>
      <c r="N256" s="104">
        <f>SUM(K256:M256)</f>
        <v>60</v>
      </c>
      <c r="O256" s="104">
        <v>0</v>
      </c>
      <c r="P256" s="104">
        <v>0</v>
      </c>
      <c r="Q256" s="105">
        <v>0</v>
      </c>
      <c r="R256" s="104">
        <v>0</v>
      </c>
      <c r="S256" s="173">
        <f t="shared" si="47"/>
        <v>60</v>
      </c>
    </row>
    <row r="257" spans="1:20" ht="24" customHeight="1" x14ac:dyDescent="0.25">
      <c r="A257" s="17" t="s">
        <v>367</v>
      </c>
      <c r="B257" s="53" t="s">
        <v>36</v>
      </c>
      <c r="C257" s="109">
        <v>0</v>
      </c>
      <c r="D257" s="109"/>
      <c r="E257" s="105"/>
      <c r="F257" s="104"/>
      <c r="G257" s="104"/>
      <c r="H257" s="104"/>
      <c r="I257" s="104"/>
      <c r="J257" s="104"/>
      <c r="K257" s="115">
        <v>0</v>
      </c>
      <c r="L257" s="104">
        <v>0</v>
      </c>
      <c r="M257" s="105">
        <f>20</f>
        <v>20</v>
      </c>
      <c r="N257" s="104">
        <f>SUM(K257:M257)</f>
        <v>20</v>
      </c>
      <c r="O257" s="104">
        <v>0</v>
      </c>
      <c r="P257" s="104">
        <v>0</v>
      </c>
      <c r="Q257" s="105">
        <v>0</v>
      </c>
      <c r="R257" s="104">
        <v>0</v>
      </c>
      <c r="S257" s="173">
        <f t="shared" si="47"/>
        <v>20</v>
      </c>
    </row>
    <row r="258" spans="1:20" ht="15" customHeight="1" x14ac:dyDescent="0.25">
      <c r="A258" s="17" t="s">
        <v>389</v>
      </c>
      <c r="B258" s="53" t="s">
        <v>36</v>
      </c>
      <c r="C258" s="109">
        <v>0</v>
      </c>
      <c r="D258" s="109"/>
      <c r="E258" s="105"/>
      <c r="F258" s="104"/>
      <c r="G258" s="104"/>
      <c r="H258" s="104"/>
      <c r="I258" s="104"/>
      <c r="J258" s="104"/>
      <c r="K258" s="115"/>
      <c r="L258" s="104"/>
      <c r="M258" s="103"/>
      <c r="N258" s="102">
        <v>0</v>
      </c>
      <c r="O258" s="104">
        <v>0</v>
      </c>
      <c r="P258" s="104">
        <f>90</f>
        <v>90</v>
      </c>
      <c r="Q258" s="105">
        <v>0</v>
      </c>
      <c r="R258" s="104">
        <v>0</v>
      </c>
      <c r="S258" s="173">
        <f t="shared" si="47"/>
        <v>90</v>
      </c>
    </row>
    <row r="259" spans="1:20" ht="23.25" customHeight="1" x14ac:dyDescent="0.25">
      <c r="A259" s="17" t="s">
        <v>369</v>
      </c>
      <c r="B259" s="53" t="s">
        <v>36</v>
      </c>
      <c r="C259" s="109">
        <v>0</v>
      </c>
      <c r="D259" s="109"/>
      <c r="E259" s="105"/>
      <c r="F259" s="104"/>
      <c r="G259" s="104"/>
      <c r="H259" s="104"/>
      <c r="I259" s="104"/>
      <c r="J259" s="104"/>
      <c r="K259" s="115">
        <v>0</v>
      </c>
      <c r="L259" s="104">
        <v>0</v>
      </c>
      <c r="M259" s="103">
        <f>20</f>
        <v>20</v>
      </c>
      <c r="N259" s="102">
        <f>SUM(K259:M259)</f>
        <v>20</v>
      </c>
      <c r="O259" s="104">
        <v>0</v>
      </c>
      <c r="P259" s="104">
        <v>0</v>
      </c>
      <c r="Q259" s="105">
        <v>0</v>
      </c>
      <c r="R259" s="104">
        <v>0</v>
      </c>
      <c r="S259" s="173">
        <f t="shared" si="47"/>
        <v>20</v>
      </c>
    </row>
    <row r="260" spans="1:20" ht="15" customHeight="1" x14ac:dyDescent="0.25">
      <c r="A260" s="17" t="s">
        <v>331</v>
      </c>
      <c r="B260" s="53" t="s">
        <v>332</v>
      </c>
      <c r="C260" s="109">
        <v>0</v>
      </c>
      <c r="D260" s="109"/>
      <c r="E260" s="105"/>
      <c r="F260" s="104"/>
      <c r="G260" s="104"/>
      <c r="H260" s="104">
        <v>0</v>
      </c>
      <c r="I260" s="104">
        <v>520</v>
      </c>
      <c r="J260" s="104">
        <v>0</v>
      </c>
      <c r="K260" s="115">
        <f t="shared" si="43"/>
        <v>520</v>
      </c>
      <c r="L260" s="104">
        <v>0</v>
      </c>
      <c r="M260" s="103">
        <v>0</v>
      </c>
      <c r="N260" s="102">
        <f t="shared" ref="N260:N325" si="49">SUM(K260:M260)</f>
        <v>520</v>
      </c>
      <c r="O260" s="104">
        <v>0</v>
      </c>
      <c r="P260" s="104">
        <v>0</v>
      </c>
      <c r="Q260" s="105">
        <v>0</v>
      </c>
      <c r="R260" s="104">
        <v>0</v>
      </c>
      <c r="S260" s="173">
        <f t="shared" si="47"/>
        <v>520</v>
      </c>
    </row>
    <row r="261" spans="1:20" ht="16.5" customHeight="1" thickBot="1" x14ac:dyDescent="0.3">
      <c r="A261" s="55" t="s">
        <v>179</v>
      </c>
      <c r="B261" s="100"/>
      <c r="C261" s="111">
        <v>8793.5</v>
      </c>
      <c r="D261" s="111">
        <f>-20</f>
        <v>-20</v>
      </c>
      <c r="E261" s="107">
        <v>6135</v>
      </c>
      <c r="F261" s="106">
        <f t="shared" si="46"/>
        <v>14908.5</v>
      </c>
      <c r="G261" s="106">
        <f>-250-103</f>
        <v>-353</v>
      </c>
      <c r="H261" s="106">
        <f t="shared" si="48"/>
        <v>14555.5</v>
      </c>
      <c r="I261" s="106">
        <v>877.6</v>
      </c>
      <c r="J261" s="106">
        <f>-39.5+40</f>
        <v>0.5</v>
      </c>
      <c r="K261" s="113">
        <f t="shared" si="43"/>
        <v>15433.6</v>
      </c>
      <c r="L261" s="106">
        <f>-441</f>
        <v>-441</v>
      </c>
      <c r="M261" s="107">
        <f>-205</f>
        <v>-205</v>
      </c>
      <c r="N261" s="106">
        <f t="shared" si="49"/>
        <v>14787.6</v>
      </c>
      <c r="O261" s="106">
        <v>0</v>
      </c>
      <c r="P261" s="106">
        <f>-60-90</f>
        <v>-150</v>
      </c>
      <c r="Q261" s="107">
        <f>-10557</f>
        <v>-10557</v>
      </c>
      <c r="R261" s="106">
        <v>0</v>
      </c>
      <c r="S261" s="182">
        <f t="shared" si="47"/>
        <v>4080.6000000000004</v>
      </c>
    </row>
    <row r="262" spans="1:20" ht="16.5" customHeight="1" thickBot="1" x14ac:dyDescent="0.3">
      <c r="A262" s="56" t="s">
        <v>180</v>
      </c>
      <c r="B262" s="50"/>
      <c r="C262" s="42">
        <f>SUM(C264:C265)</f>
        <v>300</v>
      </c>
      <c r="D262" s="42">
        <f t="shared" ref="D262:G262" si="50">SUM(D265)</f>
        <v>4619</v>
      </c>
      <c r="E262" s="88">
        <f t="shared" si="50"/>
        <v>486</v>
      </c>
      <c r="F262" s="42">
        <f t="shared" si="50"/>
        <v>5405</v>
      </c>
      <c r="G262" s="42">
        <f t="shared" si="50"/>
        <v>-599</v>
      </c>
      <c r="H262" s="42">
        <f>SUM(H264:H265)</f>
        <v>4806</v>
      </c>
      <c r="I262" s="42">
        <f>SUM(I264:I265)</f>
        <v>6361.23</v>
      </c>
      <c r="J262" s="42">
        <f>SUM(J264:J265)</f>
        <v>13611</v>
      </c>
      <c r="K262" s="150">
        <f>SUM(H262:J262)</f>
        <v>24778.23</v>
      </c>
      <c r="L262" s="123">
        <f>SUM(L264:L265)</f>
        <v>0</v>
      </c>
      <c r="M262" s="124">
        <f>SUM(M264:M265)</f>
        <v>50</v>
      </c>
      <c r="N262" s="123">
        <f t="shared" si="49"/>
        <v>24828.23</v>
      </c>
      <c r="O262" s="123">
        <f>SUM(O264:O265)</f>
        <v>0</v>
      </c>
      <c r="P262" s="123">
        <f>SUM(P264:P265)</f>
        <v>272</v>
      </c>
      <c r="Q262" s="124">
        <f>SUM(Q264:Q265)</f>
        <v>0</v>
      </c>
      <c r="R262" s="123">
        <f>SUM(R264:R265)</f>
        <v>195</v>
      </c>
      <c r="S262" s="172">
        <f t="shared" si="47"/>
        <v>25295.23</v>
      </c>
      <c r="T262" s="122"/>
    </row>
    <row r="263" spans="1:20" ht="12.75" customHeight="1" x14ac:dyDescent="0.25">
      <c r="A263" s="57" t="s">
        <v>27</v>
      </c>
      <c r="B263" s="47"/>
      <c r="C263" s="31"/>
      <c r="D263" s="31"/>
      <c r="E263" s="82"/>
      <c r="F263" s="16"/>
      <c r="G263" s="16"/>
      <c r="H263" s="102"/>
      <c r="I263" s="102"/>
      <c r="J263" s="102"/>
      <c r="K263" s="144"/>
      <c r="L263" s="102"/>
      <c r="M263" s="103"/>
      <c r="N263" s="102"/>
      <c r="O263" s="102"/>
      <c r="P263" s="102"/>
      <c r="Q263" s="103"/>
      <c r="R263" s="102"/>
      <c r="S263" s="165"/>
    </row>
    <row r="264" spans="1:20" ht="39" customHeight="1" x14ac:dyDescent="0.25">
      <c r="A264" s="17" t="s">
        <v>352</v>
      </c>
      <c r="B264" s="49"/>
      <c r="C264" s="109">
        <v>0</v>
      </c>
      <c r="D264" s="32"/>
      <c r="E264" s="83"/>
      <c r="F264" s="19"/>
      <c r="G264" s="19"/>
      <c r="H264" s="104">
        <v>0</v>
      </c>
      <c r="I264" s="104">
        <v>0</v>
      </c>
      <c r="J264" s="104">
        <f>200</f>
        <v>200</v>
      </c>
      <c r="K264" s="115">
        <f>SUM(H264:J264)</f>
        <v>200</v>
      </c>
      <c r="L264" s="104">
        <v>0</v>
      </c>
      <c r="M264" s="103">
        <v>0</v>
      </c>
      <c r="N264" s="102">
        <f t="shared" si="49"/>
        <v>200</v>
      </c>
      <c r="O264" s="104">
        <v>0</v>
      </c>
      <c r="P264" s="104">
        <v>0</v>
      </c>
      <c r="Q264" s="105">
        <v>0</v>
      </c>
      <c r="R264" s="104">
        <v>0</v>
      </c>
      <c r="S264" s="173">
        <f>SUM(N264:R264)</f>
        <v>200</v>
      </c>
    </row>
    <row r="265" spans="1:20" ht="15.75" customHeight="1" thickBot="1" x14ac:dyDescent="0.3">
      <c r="A265" s="55" t="s">
        <v>181</v>
      </c>
      <c r="B265" s="45"/>
      <c r="C265" s="64">
        <v>300</v>
      </c>
      <c r="D265" s="64">
        <f>3559+992+68</f>
        <v>4619</v>
      </c>
      <c r="E265" s="84">
        <v>486</v>
      </c>
      <c r="F265" s="22">
        <f>SUM(C265:E265)</f>
        <v>5405</v>
      </c>
      <c r="G265" s="22">
        <f>-655+56</f>
        <v>-599</v>
      </c>
      <c r="H265" s="106">
        <f t="shared" si="48"/>
        <v>4806</v>
      </c>
      <c r="I265" s="106">
        <v>6361.23</v>
      </c>
      <c r="J265" s="106">
        <f>8411+5000</f>
        <v>13411</v>
      </c>
      <c r="K265" s="113">
        <f t="shared" si="43"/>
        <v>24578.23</v>
      </c>
      <c r="L265" s="106">
        <v>0</v>
      </c>
      <c r="M265" s="107">
        <f>12+38</f>
        <v>50</v>
      </c>
      <c r="N265" s="106">
        <f t="shared" si="49"/>
        <v>24628.23</v>
      </c>
      <c r="O265" s="106">
        <v>0</v>
      </c>
      <c r="P265" s="106">
        <f>272</f>
        <v>272</v>
      </c>
      <c r="Q265" s="107">
        <v>0</v>
      </c>
      <c r="R265" s="106">
        <f>195</f>
        <v>195</v>
      </c>
      <c r="S265" s="182">
        <f>SUM(N265:R265)</f>
        <v>25095.23</v>
      </c>
    </row>
    <row r="266" spans="1:20" ht="18" customHeight="1" thickBot="1" x14ac:dyDescent="0.3">
      <c r="A266" s="56" t="s">
        <v>182</v>
      </c>
      <c r="B266" s="50"/>
      <c r="C266" s="42">
        <f t="shared" ref="C266:J266" si="51">SUM(C268:C291)</f>
        <v>18536.239999999998</v>
      </c>
      <c r="D266" s="42">
        <f t="shared" si="51"/>
        <v>408.98</v>
      </c>
      <c r="E266" s="88">
        <f t="shared" si="51"/>
        <v>0</v>
      </c>
      <c r="F266" s="42">
        <f t="shared" si="51"/>
        <v>18945.22</v>
      </c>
      <c r="G266" s="42">
        <f t="shared" si="51"/>
        <v>0</v>
      </c>
      <c r="H266" s="42">
        <f t="shared" si="51"/>
        <v>18945.22</v>
      </c>
      <c r="I266" s="42">
        <f t="shared" si="51"/>
        <v>200.83</v>
      </c>
      <c r="J266" s="42">
        <f t="shared" si="51"/>
        <v>1129.9099999999999</v>
      </c>
      <c r="K266" s="150">
        <f>SUM(K268:K291)</f>
        <v>20344.66</v>
      </c>
      <c r="L266" s="123">
        <f>SUM(L268:L291)</f>
        <v>236.60000000000002</v>
      </c>
      <c r="M266" s="124">
        <f>SUM(M268:M291)</f>
        <v>30.25</v>
      </c>
      <c r="N266" s="123">
        <f t="shared" si="49"/>
        <v>20611.509999999998</v>
      </c>
      <c r="O266" s="123">
        <f>SUM(O268:O291)</f>
        <v>0</v>
      </c>
      <c r="P266" s="123">
        <f>SUM(P268:P291)</f>
        <v>40</v>
      </c>
      <c r="Q266" s="124">
        <f>SUM(Q268:Q291)</f>
        <v>-821.2</v>
      </c>
      <c r="R266" s="123">
        <f>SUM(R268:R291)</f>
        <v>100</v>
      </c>
      <c r="S266" s="172">
        <f>SUM(N266:R266)</f>
        <v>19930.309999999998</v>
      </c>
      <c r="T266" s="122"/>
    </row>
    <row r="267" spans="1:20" ht="12.75" customHeight="1" x14ac:dyDescent="0.25">
      <c r="A267" s="57" t="s">
        <v>27</v>
      </c>
      <c r="B267" s="47"/>
      <c r="C267" s="31"/>
      <c r="D267" s="31"/>
      <c r="E267" s="82"/>
      <c r="F267" s="16"/>
      <c r="G267" s="16"/>
      <c r="H267" s="102"/>
      <c r="I267" s="102"/>
      <c r="J267" s="102"/>
      <c r="K267" s="144"/>
      <c r="L267" s="102"/>
      <c r="M267" s="103"/>
      <c r="N267" s="102"/>
      <c r="O267" s="102"/>
      <c r="P267" s="102"/>
      <c r="Q267" s="103"/>
      <c r="R267" s="102"/>
      <c r="S267" s="165"/>
    </row>
    <row r="268" spans="1:20" ht="38.25" customHeight="1" x14ac:dyDescent="0.25">
      <c r="A268" s="17" t="s">
        <v>183</v>
      </c>
      <c r="B268" s="53" t="s">
        <v>184</v>
      </c>
      <c r="C268" s="109">
        <v>860</v>
      </c>
      <c r="D268" s="109">
        <v>0</v>
      </c>
      <c r="E268" s="105">
        <v>-398</v>
      </c>
      <c r="F268" s="104">
        <f>SUM(C268:E268)</f>
        <v>462</v>
      </c>
      <c r="G268" s="106">
        <v>0</v>
      </c>
      <c r="H268" s="108">
        <f t="shared" si="48"/>
        <v>462</v>
      </c>
      <c r="I268" s="108">
        <v>0</v>
      </c>
      <c r="J268" s="108">
        <v>0</v>
      </c>
      <c r="K268" s="144">
        <f t="shared" si="43"/>
        <v>462</v>
      </c>
      <c r="L268" s="104">
        <f>-162</f>
        <v>-162</v>
      </c>
      <c r="M268" s="103">
        <v>0</v>
      </c>
      <c r="N268" s="102">
        <f t="shared" si="49"/>
        <v>300</v>
      </c>
      <c r="O268" s="104">
        <v>0</v>
      </c>
      <c r="P268" s="104">
        <v>0</v>
      </c>
      <c r="Q268" s="105">
        <v>0</v>
      </c>
      <c r="R268" s="104">
        <v>0</v>
      </c>
      <c r="S268" s="173">
        <f t="shared" ref="S268:S292" si="52">SUM(N268:R268)</f>
        <v>300</v>
      </c>
    </row>
    <row r="269" spans="1:20" ht="25.5" customHeight="1" x14ac:dyDescent="0.25">
      <c r="A269" s="17" t="s">
        <v>185</v>
      </c>
      <c r="B269" s="53" t="s">
        <v>186</v>
      </c>
      <c r="C269" s="109">
        <v>400</v>
      </c>
      <c r="D269" s="109">
        <v>0</v>
      </c>
      <c r="E269" s="105">
        <v>398</v>
      </c>
      <c r="F269" s="104">
        <f t="shared" ref="F269:F291" si="53">SUM(C269:E269)</f>
        <v>798</v>
      </c>
      <c r="G269" s="104">
        <v>0</v>
      </c>
      <c r="H269" s="104">
        <f t="shared" si="48"/>
        <v>798</v>
      </c>
      <c r="I269" s="104">
        <v>0</v>
      </c>
      <c r="J269" s="104">
        <v>0</v>
      </c>
      <c r="K269" s="144">
        <f t="shared" si="43"/>
        <v>798</v>
      </c>
      <c r="L269" s="104">
        <f>-53</f>
        <v>-53</v>
      </c>
      <c r="M269" s="103">
        <v>0</v>
      </c>
      <c r="N269" s="102">
        <f t="shared" si="49"/>
        <v>745</v>
      </c>
      <c r="O269" s="104">
        <v>0</v>
      </c>
      <c r="P269" s="104">
        <v>0</v>
      </c>
      <c r="Q269" s="105">
        <v>0</v>
      </c>
      <c r="R269" s="104">
        <v>0</v>
      </c>
      <c r="S269" s="173">
        <f t="shared" si="52"/>
        <v>745</v>
      </c>
    </row>
    <row r="270" spans="1:20" ht="26.25" customHeight="1" x14ac:dyDescent="0.25">
      <c r="A270" s="17" t="s">
        <v>187</v>
      </c>
      <c r="B270" s="53" t="s">
        <v>188</v>
      </c>
      <c r="C270" s="109">
        <v>300</v>
      </c>
      <c r="D270" s="109">
        <v>0</v>
      </c>
      <c r="E270" s="105">
        <v>0</v>
      </c>
      <c r="F270" s="104">
        <f t="shared" si="53"/>
        <v>300</v>
      </c>
      <c r="G270" s="104">
        <v>0</v>
      </c>
      <c r="H270" s="104">
        <f t="shared" si="48"/>
        <v>300</v>
      </c>
      <c r="I270" s="104">
        <v>0</v>
      </c>
      <c r="J270" s="104">
        <v>0</v>
      </c>
      <c r="K270" s="144">
        <f t="shared" si="43"/>
        <v>300</v>
      </c>
      <c r="L270" s="104">
        <f>-278.4</f>
        <v>-278.39999999999998</v>
      </c>
      <c r="M270" s="103">
        <v>0</v>
      </c>
      <c r="N270" s="102">
        <f t="shared" si="49"/>
        <v>21.600000000000023</v>
      </c>
      <c r="O270" s="104">
        <v>0</v>
      </c>
      <c r="P270" s="104">
        <v>0</v>
      </c>
      <c r="Q270" s="105">
        <v>0</v>
      </c>
      <c r="R270" s="104">
        <v>0</v>
      </c>
      <c r="S270" s="173">
        <f t="shared" si="52"/>
        <v>21.600000000000023</v>
      </c>
    </row>
    <row r="271" spans="1:20" ht="15" customHeight="1" x14ac:dyDescent="0.25">
      <c r="A271" s="17" t="s">
        <v>189</v>
      </c>
      <c r="B271" s="53" t="s">
        <v>36</v>
      </c>
      <c r="C271" s="109">
        <v>7502</v>
      </c>
      <c r="D271" s="109">
        <v>0</v>
      </c>
      <c r="E271" s="105">
        <v>0</v>
      </c>
      <c r="F271" s="104">
        <f t="shared" si="53"/>
        <v>7502</v>
      </c>
      <c r="G271" s="104">
        <v>0</v>
      </c>
      <c r="H271" s="104">
        <f t="shared" si="48"/>
        <v>7502</v>
      </c>
      <c r="I271" s="104">
        <v>0</v>
      </c>
      <c r="J271" s="104">
        <v>0</v>
      </c>
      <c r="K271" s="144">
        <f t="shared" si="43"/>
        <v>7502</v>
      </c>
      <c r="L271" s="104">
        <v>0</v>
      </c>
      <c r="M271" s="103">
        <v>0</v>
      </c>
      <c r="N271" s="102">
        <f t="shared" si="49"/>
        <v>7502</v>
      </c>
      <c r="O271" s="104">
        <v>0</v>
      </c>
      <c r="P271" s="104">
        <v>0</v>
      </c>
      <c r="Q271" s="105">
        <v>0</v>
      </c>
      <c r="R271" s="104">
        <v>0</v>
      </c>
      <c r="S271" s="173">
        <f t="shared" si="52"/>
        <v>7502</v>
      </c>
    </row>
    <row r="272" spans="1:20" ht="25.5" customHeight="1" x14ac:dyDescent="0.25">
      <c r="A272" s="17" t="s">
        <v>357</v>
      </c>
      <c r="B272" s="53" t="s">
        <v>267</v>
      </c>
      <c r="C272" s="109">
        <v>0</v>
      </c>
      <c r="D272" s="109"/>
      <c r="E272" s="105"/>
      <c r="F272" s="104"/>
      <c r="G272" s="104"/>
      <c r="H272" s="104">
        <v>0</v>
      </c>
      <c r="I272" s="104">
        <v>0</v>
      </c>
      <c r="J272" s="104">
        <f>40</f>
        <v>40</v>
      </c>
      <c r="K272" s="144">
        <f>SUM(H272:J272)</f>
        <v>40</v>
      </c>
      <c r="L272" s="104">
        <v>0</v>
      </c>
      <c r="M272" s="103">
        <v>0</v>
      </c>
      <c r="N272" s="102">
        <f t="shared" si="49"/>
        <v>40</v>
      </c>
      <c r="O272" s="104">
        <v>0</v>
      </c>
      <c r="P272" s="104">
        <v>0</v>
      </c>
      <c r="Q272" s="105">
        <v>0</v>
      </c>
      <c r="R272" s="104">
        <v>0</v>
      </c>
      <c r="S272" s="173">
        <f t="shared" si="52"/>
        <v>40</v>
      </c>
    </row>
    <row r="273" spans="1:19" ht="22.5" customHeight="1" x14ac:dyDescent="0.25">
      <c r="A273" s="17" t="s">
        <v>388</v>
      </c>
      <c r="B273" s="53" t="s">
        <v>267</v>
      </c>
      <c r="C273" s="109">
        <v>0</v>
      </c>
      <c r="D273" s="109"/>
      <c r="E273" s="105"/>
      <c r="F273" s="104"/>
      <c r="G273" s="104"/>
      <c r="H273" s="104"/>
      <c r="I273" s="104"/>
      <c r="J273" s="104"/>
      <c r="K273" s="144"/>
      <c r="L273" s="104"/>
      <c r="M273" s="103"/>
      <c r="N273" s="102">
        <v>0</v>
      </c>
      <c r="O273" s="104">
        <v>0</v>
      </c>
      <c r="P273" s="104">
        <f>50</f>
        <v>50</v>
      </c>
      <c r="Q273" s="105">
        <v>0</v>
      </c>
      <c r="R273" s="104">
        <f>50</f>
        <v>50</v>
      </c>
      <c r="S273" s="173">
        <f t="shared" si="52"/>
        <v>100</v>
      </c>
    </row>
    <row r="274" spans="1:19" ht="26.25" customHeight="1" x14ac:dyDescent="0.25">
      <c r="A274" s="17" t="s">
        <v>190</v>
      </c>
      <c r="B274" s="53" t="s">
        <v>36</v>
      </c>
      <c r="C274" s="109">
        <v>850</v>
      </c>
      <c r="D274" s="109">
        <v>0</v>
      </c>
      <c r="E274" s="105">
        <v>0</v>
      </c>
      <c r="F274" s="104">
        <f t="shared" si="53"/>
        <v>850</v>
      </c>
      <c r="G274" s="104">
        <v>0</v>
      </c>
      <c r="H274" s="104">
        <f t="shared" si="48"/>
        <v>850</v>
      </c>
      <c r="I274" s="104">
        <v>0</v>
      </c>
      <c r="J274" s="104">
        <v>0</v>
      </c>
      <c r="K274" s="144">
        <f t="shared" si="43"/>
        <v>850</v>
      </c>
      <c r="L274" s="104">
        <v>0</v>
      </c>
      <c r="M274" s="103">
        <v>0</v>
      </c>
      <c r="N274" s="102">
        <f t="shared" si="49"/>
        <v>850</v>
      </c>
      <c r="O274" s="104">
        <v>0</v>
      </c>
      <c r="P274" s="104">
        <v>0</v>
      </c>
      <c r="Q274" s="105">
        <f>-48.63</f>
        <v>-48.63</v>
      </c>
      <c r="R274" s="104">
        <v>0</v>
      </c>
      <c r="S274" s="173">
        <f>SUM(N274:R274)</f>
        <v>801.37</v>
      </c>
    </row>
    <row r="275" spans="1:19" ht="26.25" customHeight="1" x14ac:dyDescent="0.25">
      <c r="A275" s="17" t="s">
        <v>357</v>
      </c>
      <c r="B275" s="53" t="s">
        <v>267</v>
      </c>
      <c r="C275" s="109">
        <v>0</v>
      </c>
      <c r="D275" s="109"/>
      <c r="E275" s="105"/>
      <c r="F275" s="104"/>
      <c r="G275" s="104"/>
      <c r="H275" s="104"/>
      <c r="I275" s="104"/>
      <c r="J275" s="104"/>
      <c r="K275" s="144"/>
      <c r="L275" s="104"/>
      <c r="M275" s="103"/>
      <c r="N275" s="102">
        <v>0</v>
      </c>
      <c r="O275" s="104"/>
      <c r="P275" s="104">
        <v>0</v>
      </c>
      <c r="Q275" s="105">
        <v>0</v>
      </c>
      <c r="R275" s="104">
        <f>40</f>
        <v>40</v>
      </c>
      <c r="S275" s="173">
        <f>SUM(N275:R275)</f>
        <v>40</v>
      </c>
    </row>
    <row r="276" spans="1:19" ht="36.75" customHeight="1" x14ac:dyDescent="0.25">
      <c r="A276" s="17" t="s">
        <v>191</v>
      </c>
      <c r="B276" s="53"/>
      <c r="C276" s="109">
        <v>355</v>
      </c>
      <c r="D276" s="109">
        <v>0</v>
      </c>
      <c r="E276" s="105">
        <v>0</v>
      </c>
      <c r="F276" s="104">
        <f t="shared" si="53"/>
        <v>355</v>
      </c>
      <c r="G276" s="104">
        <v>0</v>
      </c>
      <c r="H276" s="104">
        <f t="shared" si="48"/>
        <v>355</v>
      </c>
      <c r="I276" s="104">
        <v>0</v>
      </c>
      <c r="J276" s="104">
        <v>0</v>
      </c>
      <c r="K276" s="144">
        <f t="shared" si="43"/>
        <v>355</v>
      </c>
      <c r="L276" s="104">
        <v>0</v>
      </c>
      <c r="M276" s="103">
        <v>0</v>
      </c>
      <c r="N276" s="102">
        <f t="shared" si="49"/>
        <v>355</v>
      </c>
      <c r="O276" s="104">
        <v>0</v>
      </c>
      <c r="P276" s="104">
        <v>0</v>
      </c>
      <c r="Q276" s="105">
        <v>0</v>
      </c>
      <c r="R276" s="104">
        <v>0</v>
      </c>
      <c r="S276" s="173">
        <f t="shared" si="52"/>
        <v>355</v>
      </c>
    </row>
    <row r="277" spans="1:19" ht="15.75" customHeight="1" x14ac:dyDescent="0.25">
      <c r="A277" s="54" t="s">
        <v>192</v>
      </c>
      <c r="B277" s="53" t="s">
        <v>193</v>
      </c>
      <c r="C277" s="109">
        <v>500</v>
      </c>
      <c r="D277" s="109">
        <v>0</v>
      </c>
      <c r="E277" s="105">
        <v>0</v>
      </c>
      <c r="F277" s="104">
        <f t="shared" si="53"/>
        <v>500</v>
      </c>
      <c r="G277" s="104">
        <v>0</v>
      </c>
      <c r="H277" s="104">
        <f t="shared" si="48"/>
        <v>500</v>
      </c>
      <c r="I277" s="104">
        <v>0</v>
      </c>
      <c r="J277" s="104">
        <v>0</v>
      </c>
      <c r="K277" s="144">
        <f t="shared" si="43"/>
        <v>500</v>
      </c>
      <c r="L277" s="104">
        <v>0</v>
      </c>
      <c r="M277" s="103">
        <v>0</v>
      </c>
      <c r="N277" s="102">
        <f t="shared" si="49"/>
        <v>500</v>
      </c>
      <c r="O277" s="104">
        <v>0</v>
      </c>
      <c r="P277" s="104">
        <v>0</v>
      </c>
      <c r="Q277" s="105">
        <v>0</v>
      </c>
      <c r="R277" s="104">
        <v>0</v>
      </c>
      <c r="S277" s="173">
        <f t="shared" si="52"/>
        <v>500</v>
      </c>
    </row>
    <row r="278" spans="1:19" ht="27" customHeight="1" x14ac:dyDescent="0.25">
      <c r="A278" s="17" t="s">
        <v>194</v>
      </c>
      <c r="B278" s="53"/>
      <c r="C278" s="109">
        <v>70</v>
      </c>
      <c r="D278" s="109">
        <v>0</v>
      </c>
      <c r="E278" s="105">
        <v>0</v>
      </c>
      <c r="F278" s="104">
        <f t="shared" si="53"/>
        <v>70</v>
      </c>
      <c r="G278" s="104">
        <v>0</v>
      </c>
      <c r="H278" s="104">
        <f t="shared" si="48"/>
        <v>70</v>
      </c>
      <c r="I278" s="104">
        <v>0</v>
      </c>
      <c r="J278" s="104">
        <v>0</v>
      </c>
      <c r="K278" s="144">
        <f t="shared" si="43"/>
        <v>70</v>
      </c>
      <c r="L278" s="104">
        <v>0</v>
      </c>
      <c r="M278" s="103">
        <v>0</v>
      </c>
      <c r="N278" s="102">
        <f t="shared" si="49"/>
        <v>70</v>
      </c>
      <c r="O278" s="104">
        <v>0</v>
      </c>
      <c r="P278" s="104">
        <v>0</v>
      </c>
      <c r="Q278" s="105">
        <v>0</v>
      </c>
      <c r="R278" s="104">
        <v>0</v>
      </c>
      <c r="S278" s="173">
        <f t="shared" si="52"/>
        <v>70</v>
      </c>
    </row>
    <row r="279" spans="1:19" ht="15" customHeight="1" x14ac:dyDescent="0.25">
      <c r="A279" s="54" t="s">
        <v>195</v>
      </c>
      <c r="B279" s="53"/>
      <c r="C279" s="109">
        <v>480</v>
      </c>
      <c r="D279" s="109">
        <v>0</v>
      </c>
      <c r="E279" s="105">
        <v>0</v>
      </c>
      <c r="F279" s="104">
        <f t="shared" si="53"/>
        <v>480</v>
      </c>
      <c r="G279" s="104">
        <v>0</v>
      </c>
      <c r="H279" s="104">
        <f t="shared" si="48"/>
        <v>480</v>
      </c>
      <c r="I279" s="104">
        <v>0</v>
      </c>
      <c r="J279" s="104">
        <v>0</v>
      </c>
      <c r="K279" s="144">
        <f t="shared" ref="K279:K347" si="54">SUM(H279:J279)</f>
        <v>480</v>
      </c>
      <c r="L279" s="104">
        <v>0</v>
      </c>
      <c r="M279" s="103">
        <v>0</v>
      </c>
      <c r="N279" s="102">
        <f t="shared" si="49"/>
        <v>480</v>
      </c>
      <c r="O279" s="104">
        <v>0</v>
      </c>
      <c r="P279" s="104">
        <v>0</v>
      </c>
      <c r="Q279" s="105">
        <f>-51.19</f>
        <v>-51.19</v>
      </c>
      <c r="R279" s="104">
        <v>0</v>
      </c>
      <c r="S279" s="173">
        <f t="shared" si="52"/>
        <v>428.81</v>
      </c>
    </row>
    <row r="280" spans="1:19" ht="16.5" customHeight="1" x14ac:dyDescent="0.25">
      <c r="A280" s="54" t="s">
        <v>196</v>
      </c>
      <c r="B280" s="53"/>
      <c r="C280" s="109">
        <v>2</v>
      </c>
      <c r="D280" s="109">
        <v>0</v>
      </c>
      <c r="E280" s="105">
        <v>0</v>
      </c>
      <c r="F280" s="104">
        <f t="shared" si="53"/>
        <v>2</v>
      </c>
      <c r="G280" s="104">
        <v>0</v>
      </c>
      <c r="H280" s="104">
        <f t="shared" si="48"/>
        <v>2</v>
      </c>
      <c r="I280" s="104">
        <v>0</v>
      </c>
      <c r="J280" s="104">
        <v>0</v>
      </c>
      <c r="K280" s="144">
        <f t="shared" si="54"/>
        <v>2</v>
      </c>
      <c r="L280" s="104">
        <v>0</v>
      </c>
      <c r="M280" s="103">
        <v>0</v>
      </c>
      <c r="N280" s="102">
        <f t="shared" si="49"/>
        <v>2</v>
      </c>
      <c r="O280" s="104">
        <v>0</v>
      </c>
      <c r="P280" s="104">
        <v>0</v>
      </c>
      <c r="Q280" s="105">
        <v>0</v>
      </c>
      <c r="R280" s="104">
        <v>0</v>
      </c>
      <c r="S280" s="173">
        <f t="shared" si="52"/>
        <v>2</v>
      </c>
    </row>
    <row r="281" spans="1:19" ht="16.5" customHeight="1" x14ac:dyDescent="0.25">
      <c r="A281" s="54" t="s">
        <v>197</v>
      </c>
      <c r="B281" s="53"/>
      <c r="C281" s="109">
        <v>188</v>
      </c>
      <c r="D281" s="109">
        <v>0</v>
      </c>
      <c r="E281" s="105">
        <v>0</v>
      </c>
      <c r="F281" s="104">
        <f t="shared" si="53"/>
        <v>188</v>
      </c>
      <c r="G281" s="104">
        <v>0</v>
      </c>
      <c r="H281" s="104">
        <f t="shared" si="48"/>
        <v>188</v>
      </c>
      <c r="I281" s="104">
        <v>0.83</v>
      </c>
      <c r="J281" s="104">
        <v>0</v>
      </c>
      <c r="K281" s="144">
        <f t="shared" si="54"/>
        <v>188.83</v>
      </c>
      <c r="L281" s="104">
        <v>0</v>
      </c>
      <c r="M281" s="103">
        <v>0</v>
      </c>
      <c r="N281" s="102">
        <f t="shared" si="49"/>
        <v>188.83</v>
      </c>
      <c r="O281" s="104">
        <v>0</v>
      </c>
      <c r="P281" s="104">
        <v>0</v>
      </c>
      <c r="Q281" s="105">
        <v>0</v>
      </c>
      <c r="R281" s="104">
        <v>0</v>
      </c>
      <c r="S281" s="173">
        <f t="shared" si="52"/>
        <v>188.83</v>
      </c>
    </row>
    <row r="282" spans="1:19" ht="15" customHeight="1" x14ac:dyDescent="0.25">
      <c r="A282" s="54" t="s">
        <v>198</v>
      </c>
      <c r="B282" s="53"/>
      <c r="C282" s="109">
        <v>15</v>
      </c>
      <c r="D282" s="109">
        <v>0</v>
      </c>
      <c r="E282" s="105">
        <v>0</v>
      </c>
      <c r="F282" s="104">
        <f t="shared" si="53"/>
        <v>15</v>
      </c>
      <c r="G282" s="104">
        <v>0</v>
      </c>
      <c r="H282" s="104">
        <f t="shared" si="48"/>
        <v>15</v>
      </c>
      <c r="I282" s="104">
        <v>0</v>
      </c>
      <c r="J282" s="104">
        <v>0</v>
      </c>
      <c r="K282" s="144">
        <f t="shared" si="54"/>
        <v>15</v>
      </c>
      <c r="L282" s="104">
        <v>0</v>
      </c>
      <c r="M282" s="103">
        <v>0</v>
      </c>
      <c r="N282" s="102">
        <f t="shared" si="49"/>
        <v>15</v>
      </c>
      <c r="O282" s="104">
        <v>0</v>
      </c>
      <c r="P282" s="104">
        <v>0</v>
      </c>
      <c r="Q282" s="105">
        <v>0</v>
      </c>
      <c r="R282" s="104">
        <v>0</v>
      </c>
      <c r="S282" s="173">
        <f t="shared" si="52"/>
        <v>15</v>
      </c>
    </row>
    <row r="283" spans="1:19" ht="28.5" customHeight="1" x14ac:dyDescent="0.25">
      <c r="A283" s="17" t="s">
        <v>199</v>
      </c>
      <c r="B283" s="53"/>
      <c r="C283" s="109">
        <v>50</v>
      </c>
      <c r="D283" s="109">
        <v>0</v>
      </c>
      <c r="E283" s="105">
        <v>0</v>
      </c>
      <c r="F283" s="104">
        <f t="shared" si="53"/>
        <v>50</v>
      </c>
      <c r="G283" s="104">
        <v>0</v>
      </c>
      <c r="H283" s="104">
        <f t="shared" si="48"/>
        <v>50</v>
      </c>
      <c r="I283" s="104">
        <v>0</v>
      </c>
      <c r="J283" s="104">
        <v>0</v>
      </c>
      <c r="K283" s="144">
        <f t="shared" si="54"/>
        <v>50</v>
      </c>
      <c r="L283" s="104">
        <v>0</v>
      </c>
      <c r="M283" s="103">
        <v>0</v>
      </c>
      <c r="N283" s="102">
        <f t="shared" si="49"/>
        <v>50</v>
      </c>
      <c r="O283" s="104">
        <v>0</v>
      </c>
      <c r="P283" s="104">
        <v>0</v>
      </c>
      <c r="Q283" s="105">
        <v>0</v>
      </c>
      <c r="R283" s="104">
        <v>0</v>
      </c>
      <c r="S283" s="173">
        <f t="shared" si="52"/>
        <v>50</v>
      </c>
    </row>
    <row r="284" spans="1:19" ht="27.75" customHeight="1" x14ac:dyDescent="0.25">
      <c r="A284" s="17" t="s">
        <v>200</v>
      </c>
      <c r="B284" s="53"/>
      <c r="C284" s="109">
        <v>30</v>
      </c>
      <c r="D284" s="109">
        <v>0</v>
      </c>
      <c r="E284" s="105">
        <v>0</v>
      </c>
      <c r="F284" s="104">
        <f t="shared" si="53"/>
        <v>30</v>
      </c>
      <c r="G284" s="104">
        <v>0</v>
      </c>
      <c r="H284" s="104">
        <f t="shared" si="48"/>
        <v>30</v>
      </c>
      <c r="I284" s="104">
        <v>0</v>
      </c>
      <c r="J284" s="104">
        <v>0</v>
      </c>
      <c r="K284" s="144">
        <f t="shared" si="54"/>
        <v>30</v>
      </c>
      <c r="L284" s="104">
        <v>0</v>
      </c>
      <c r="M284" s="103">
        <v>0</v>
      </c>
      <c r="N284" s="102">
        <f t="shared" si="49"/>
        <v>30</v>
      </c>
      <c r="O284" s="104">
        <v>0</v>
      </c>
      <c r="P284" s="104">
        <v>0</v>
      </c>
      <c r="Q284" s="105">
        <v>0</v>
      </c>
      <c r="R284" s="104">
        <v>0</v>
      </c>
      <c r="S284" s="173">
        <f t="shared" si="52"/>
        <v>30</v>
      </c>
    </row>
    <row r="285" spans="1:19" ht="30" customHeight="1" x14ac:dyDescent="0.25">
      <c r="A285" s="17" t="s">
        <v>391</v>
      </c>
      <c r="B285" s="53"/>
      <c r="C285" s="109">
        <v>0</v>
      </c>
      <c r="D285" s="109"/>
      <c r="E285" s="105"/>
      <c r="F285" s="104"/>
      <c r="G285" s="104"/>
      <c r="H285" s="104"/>
      <c r="I285" s="104"/>
      <c r="J285" s="104"/>
      <c r="K285" s="144"/>
      <c r="L285" s="104"/>
      <c r="M285" s="103"/>
      <c r="N285" s="102">
        <v>0</v>
      </c>
      <c r="O285" s="104"/>
      <c r="P285" s="104">
        <v>0</v>
      </c>
      <c r="Q285" s="105">
        <f>100</f>
        <v>100</v>
      </c>
      <c r="R285" s="104">
        <v>0</v>
      </c>
      <c r="S285" s="173">
        <f t="shared" si="52"/>
        <v>100</v>
      </c>
    </row>
    <row r="286" spans="1:19" ht="16.5" customHeight="1" x14ac:dyDescent="0.25">
      <c r="A286" s="17" t="s">
        <v>201</v>
      </c>
      <c r="B286" s="53"/>
      <c r="C286" s="109">
        <v>600</v>
      </c>
      <c r="D286" s="109">
        <v>0</v>
      </c>
      <c r="E286" s="105">
        <v>0</v>
      </c>
      <c r="F286" s="104">
        <f t="shared" si="53"/>
        <v>600</v>
      </c>
      <c r="G286" s="104">
        <v>0</v>
      </c>
      <c r="H286" s="104">
        <f t="shared" si="48"/>
        <v>600</v>
      </c>
      <c r="I286" s="104">
        <v>0</v>
      </c>
      <c r="J286" s="104">
        <f>-350</f>
        <v>-350</v>
      </c>
      <c r="K286" s="144">
        <f t="shared" si="54"/>
        <v>250</v>
      </c>
      <c r="L286" s="104">
        <v>0</v>
      </c>
      <c r="M286" s="103">
        <v>0</v>
      </c>
      <c r="N286" s="102">
        <f t="shared" si="49"/>
        <v>250</v>
      </c>
      <c r="O286" s="104">
        <v>0</v>
      </c>
      <c r="P286" s="104">
        <v>0</v>
      </c>
      <c r="Q286" s="105">
        <f>-250</f>
        <v>-250</v>
      </c>
      <c r="R286" s="104">
        <v>0</v>
      </c>
      <c r="S286" s="173">
        <f t="shared" si="52"/>
        <v>0</v>
      </c>
    </row>
    <row r="287" spans="1:19" ht="38.25" customHeight="1" x14ac:dyDescent="0.25">
      <c r="A287" s="17" t="s">
        <v>353</v>
      </c>
      <c r="B287" s="53"/>
      <c r="C287" s="109">
        <v>0</v>
      </c>
      <c r="D287" s="109"/>
      <c r="E287" s="105"/>
      <c r="F287" s="104"/>
      <c r="G287" s="104"/>
      <c r="H287" s="104">
        <v>0</v>
      </c>
      <c r="I287" s="104">
        <v>0</v>
      </c>
      <c r="J287" s="104">
        <f>173</f>
        <v>173</v>
      </c>
      <c r="K287" s="115">
        <f>SUM(H287:J287)</f>
        <v>173</v>
      </c>
      <c r="L287" s="104">
        <v>0</v>
      </c>
      <c r="M287" s="103">
        <v>0</v>
      </c>
      <c r="N287" s="102">
        <f t="shared" si="49"/>
        <v>173</v>
      </c>
      <c r="O287" s="104">
        <v>0</v>
      </c>
      <c r="P287" s="104">
        <v>0</v>
      </c>
      <c r="Q287" s="105">
        <v>0</v>
      </c>
      <c r="R287" s="104">
        <v>0</v>
      </c>
      <c r="S287" s="173">
        <f t="shared" si="52"/>
        <v>173</v>
      </c>
    </row>
    <row r="288" spans="1:19" ht="36" customHeight="1" x14ac:dyDescent="0.25">
      <c r="A288" s="17" t="s">
        <v>354</v>
      </c>
      <c r="B288" s="53"/>
      <c r="C288" s="109">
        <v>0</v>
      </c>
      <c r="D288" s="109"/>
      <c r="E288" s="105"/>
      <c r="F288" s="104"/>
      <c r="G288" s="104"/>
      <c r="H288" s="104">
        <v>0</v>
      </c>
      <c r="I288" s="104">
        <v>0</v>
      </c>
      <c r="J288" s="104">
        <f>120</f>
        <v>120</v>
      </c>
      <c r="K288" s="115">
        <f>SUM(H288:J288)</f>
        <v>120</v>
      </c>
      <c r="L288" s="104">
        <v>0</v>
      </c>
      <c r="M288" s="103">
        <v>0</v>
      </c>
      <c r="N288" s="102">
        <f t="shared" si="49"/>
        <v>120</v>
      </c>
      <c r="O288" s="104">
        <v>0</v>
      </c>
      <c r="P288" s="104">
        <v>0</v>
      </c>
      <c r="Q288" s="105">
        <v>0</v>
      </c>
      <c r="R288" s="104">
        <v>0</v>
      </c>
      <c r="S288" s="173">
        <f t="shared" si="52"/>
        <v>120</v>
      </c>
    </row>
    <row r="289" spans="1:20" ht="38.25" customHeight="1" x14ac:dyDescent="0.25">
      <c r="A289" s="17" t="s">
        <v>355</v>
      </c>
      <c r="B289" s="53"/>
      <c r="C289" s="109">
        <v>0</v>
      </c>
      <c r="D289" s="109"/>
      <c r="E289" s="105"/>
      <c r="F289" s="104"/>
      <c r="G289" s="104"/>
      <c r="H289" s="104">
        <v>0</v>
      </c>
      <c r="I289" s="104">
        <v>0</v>
      </c>
      <c r="J289" s="104">
        <f>222</f>
        <v>222</v>
      </c>
      <c r="K289" s="115">
        <f>SUM(H289:J289)</f>
        <v>222</v>
      </c>
      <c r="L289" s="104">
        <v>0</v>
      </c>
      <c r="M289" s="103">
        <v>0</v>
      </c>
      <c r="N289" s="102">
        <f t="shared" si="49"/>
        <v>222</v>
      </c>
      <c r="O289" s="104">
        <v>0</v>
      </c>
      <c r="P289" s="104">
        <v>0</v>
      </c>
      <c r="Q289" s="105">
        <v>0</v>
      </c>
      <c r="R289" s="104">
        <v>0</v>
      </c>
      <c r="S289" s="173">
        <f t="shared" si="52"/>
        <v>222</v>
      </c>
    </row>
    <row r="290" spans="1:20" ht="38.25" customHeight="1" x14ac:dyDescent="0.25">
      <c r="A290" s="17" t="s">
        <v>356</v>
      </c>
      <c r="B290" s="53"/>
      <c r="C290" s="109">
        <v>0</v>
      </c>
      <c r="D290" s="109"/>
      <c r="E290" s="105"/>
      <c r="F290" s="104"/>
      <c r="G290" s="104"/>
      <c r="H290" s="104">
        <v>0</v>
      </c>
      <c r="I290" s="104">
        <v>0</v>
      </c>
      <c r="J290" s="104">
        <f>80</f>
        <v>80</v>
      </c>
      <c r="K290" s="115">
        <f>SUM(H290:J290)</f>
        <v>80</v>
      </c>
      <c r="L290" s="104">
        <v>0</v>
      </c>
      <c r="M290" s="103">
        <v>0</v>
      </c>
      <c r="N290" s="102">
        <f t="shared" si="49"/>
        <v>80</v>
      </c>
      <c r="O290" s="104">
        <v>0</v>
      </c>
      <c r="P290" s="104">
        <v>0</v>
      </c>
      <c r="Q290" s="105">
        <v>0</v>
      </c>
      <c r="R290" s="104">
        <v>0</v>
      </c>
      <c r="S290" s="173">
        <f t="shared" si="52"/>
        <v>80</v>
      </c>
    </row>
    <row r="291" spans="1:20" ht="27" customHeight="1" thickBot="1" x14ac:dyDescent="0.3">
      <c r="A291" s="20" t="s">
        <v>202</v>
      </c>
      <c r="B291" s="45"/>
      <c r="C291" s="111">
        <v>6334.24</v>
      </c>
      <c r="D291" s="111">
        <f>408.98</f>
        <v>408.98</v>
      </c>
      <c r="E291" s="107">
        <v>0</v>
      </c>
      <c r="F291" s="106">
        <f t="shared" si="53"/>
        <v>6743.2199999999993</v>
      </c>
      <c r="G291" s="106">
        <v>0</v>
      </c>
      <c r="H291" s="106">
        <f t="shared" si="48"/>
        <v>6743.2199999999993</v>
      </c>
      <c r="I291" s="106">
        <v>200</v>
      </c>
      <c r="J291" s="106">
        <f>474.34+370.57</f>
        <v>844.91</v>
      </c>
      <c r="K291" s="113">
        <f>SUM(H291:J291)+68.7</f>
        <v>7856.829999999999</v>
      </c>
      <c r="L291" s="106">
        <f>730</f>
        <v>730</v>
      </c>
      <c r="M291" s="107">
        <f>30.25</f>
        <v>30.25</v>
      </c>
      <c r="N291" s="106">
        <f t="shared" si="49"/>
        <v>8617.0799999999981</v>
      </c>
      <c r="O291" s="106">
        <v>0</v>
      </c>
      <c r="P291" s="106">
        <f>-10</f>
        <v>-10</v>
      </c>
      <c r="Q291" s="107">
        <f>-571.38</f>
        <v>-571.38</v>
      </c>
      <c r="R291" s="106">
        <f>10</f>
        <v>10</v>
      </c>
      <c r="S291" s="182">
        <f t="shared" si="52"/>
        <v>8045.699999999998</v>
      </c>
    </row>
    <row r="292" spans="1:20" ht="16.350000000000001" customHeight="1" thickBot="1" x14ac:dyDescent="0.3">
      <c r="A292" s="56" t="s">
        <v>203</v>
      </c>
      <c r="B292" s="50"/>
      <c r="C292" s="42">
        <f t="shared" ref="C292:J292" si="55">SUM(C294:C295)</f>
        <v>59013</v>
      </c>
      <c r="D292" s="42">
        <f t="shared" si="55"/>
        <v>9</v>
      </c>
      <c r="E292" s="88">
        <f t="shared" si="55"/>
        <v>0</v>
      </c>
      <c r="F292" s="42">
        <f t="shared" si="55"/>
        <v>59022</v>
      </c>
      <c r="G292" s="42">
        <f t="shared" si="55"/>
        <v>0</v>
      </c>
      <c r="H292" s="42">
        <f t="shared" si="55"/>
        <v>59022</v>
      </c>
      <c r="I292" s="42">
        <f t="shared" si="55"/>
        <v>0</v>
      </c>
      <c r="J292" s="42">
        <f t="shared" si="55"/>
        <v>1088</v>
      </c>
      <c r="K292" s="150">
        <f t="shared" ref="K292:P292" si="56">SUM(K294:K295)</f>
        <v>60270</v>
      </c>
      <c r="L292" s="123">
        <f t="shared" si="56"/>
        <v>0</v>
      </c>
      <c r="M292" s="124">
        <f t="shared" si="56"/>
        <v>0</v>
      </c>
      <c r="N292" s="123">
        <f t="shared" si="56"/>
        <v>60270</v>
      </c>
      <c r="O292" s="123">
        <f t="shared" si="56"/>
        <v>0</v>
      </c>
      <c r="P292" s="123">
        <f t="shared" si="56"/>
        <v>-2.65</v>
      </c>
      <c r="Q292" s="124">
        <f>SUM(Q294:Q295)</f>
        <v>-4457</v>
      </c>
      <c r="R292" s="123">
        <f>SUM(R294:R295)</f>
        <v>0</v>
      </c>
      <c r="S292" s="172">
        <f t="shared" si="52"/>
        <v>55810.35</v>
      </c>
      <c r="T292" s="122"/>
    </row>
    <row r="293" spans="1:20" ht="13.5" customHeight="1" x14ac:dyDescent="0.25">
      <c r="A293" s="57" t="s">
        <v>27</v>
      </c>
      <c r="B293" s="47"/>
      <c r="C293" s="31"/>
      <c r="D293" s="31"/>
      <c r="E293" s="82"/>
      <c r="F293" s="16"/>
      <c r="G293" s="16"/>
      <c r="H293" s="102"/>
      <c r="I293" s="102"/>
      <c r="J293" s="102"/>
      <c r="K293" s="144"/>
      <c r="L293" s="102"/>
      <c r="M293" s="103"/>
      <c r="N293" s="102"/>
      <c r="O293" s="102"/>
      <c r="P293" s="102"/>
      <c r="Q293" s="103"/>
      <c r="R293" s="102"/>
      <c r="S293" s="165"/>
    </row>
    <row r="294" spans="1:20" ht="17.25" customHeight="1" x14ac:dyDescent="0.25">
      <c r="A294" s="54" t="s">
        <v>30</v>
      </c>
      <c r="B294" s="49"/>
      <c r="C294" s="32">
        <v>300</v>
      </c>
      <c r="D294" s="32">
        <f>9</f>
        <v>9</v>
      </c>
      <c r="E294" s="83">
        <v>0</v>
      </c>
      <c r="F294" s="19">
        <f>SUM(C294:E294)</f>
        <v>309</v>
      </c>
      <c r="G294" s="19">
        <v>0</v>
      </c>
      <c r="H294" s="104">
        <f t="shared" si="48"/>
        <v>309</v>
      </c>
      <c r="I294" s="104">
        <v>0</v>
      </c>
      <c r="J294" s="104">
        <v>0</v>
      </c>
      <c r="K294" s="144">
        <f>SUM(H294:J294)+160</f>
        <v>469</v>
      </c>
      <c r="L294" s="104">
        <v>0</v>
      </c>
      <c r="M294" s="103">
        <v>0</v>
      </c>
      <c r="N294" s="102">
        <f t="shared" si="49"/>
        <v>469</v>
      </c>
      <c r="O294" s="104">
        <v>0</v>
      </c>
      <c r="P294" s="104">
        <v>0</v>
      </c>
      <c r="Q294" s="105">
        <v>0</v>
      </c>
      <c r="R294" s="104">
        <v>0</v>
      </c>
      <c r="S294" s="173">
        <f>SUM(N294:R294)</f>
        <v>469</v>
      </c>
    </row>
    <row r="295" spans="1:20" ht="15.75" customHeight="1" thickBot="1" x14ac:dyDescent="0.3">
      <c r="A295" s="55" t="s">
        <v>204</v>
      </c>
      <c r="B295" s="45"/>
      <c r="C295" s="64">
        <v>58713</v>
      </c>
      <c r="D295" s="64">
        <v>0</v>
      </c>
      <c r="E295" s="84">
        <v>0</v>
      </c>
      <c r="F295" s="22">
        <f>SUM(C295:E295)</f>
        <v>58713</v>
      </c>
      <c r="G295" s="22">
        <v>0</v>
      </c>
      <c r="H295" s="106">
        <f t="shared" si="48"/>
        <v>58713</v>
      </c>
      <c r="I295" s="106">
        <v>0</v>
      </c>
      <c r="J295" s="106">
        <f>1088</f>
        <v>1088</v>
      </c>
      <c r="K295" s="228">
        <f t="shared" si="54"/>
        <v>59801</v>
      </c>
      <c r="L295" s="106">
        <v>0</v>
      </c>
      <c r="M295" s="137">
        <v>0</v>
      </c>
      <c r="N295" s="108">
        <f t="shared" si="49"/>
        <v>59801</v>
      </c>
      <c r="O295" s="106">
        <v>0</v>
      </c>
      <c r="P295" s="106">
        <f>-2.65</f>
        <v>-2.65</v>
      </c>
      <c r="Q295" s="107">
        <f>-4457</f>
        <v>-4457</v>
      </c>
      <c r="R295" s="106">
        <v>0</v>
      </c>
      <c r="S295" s="182">
        <f>SUM(N295:R295)</f>
        <v>55341.35</v>
      </c>
    </row>
    <row r="296" spans="1:20" ht="16.5" customHeight="1" thickBot="1" x14ac:dyDescent="0.3">
      <c r="A296" s="56" t="s">
        <v>205</v>
      </c>
      <c r="B296" s="50"/>
      <c r="C296" s="42">
        <f t="shared" ref="C296:J296" si="57">SUM(C298:C299)</f>
        <v>27507</v>
      </c>
      <c r="D296" s="42">
        <f t="shared" si="57"/>
        <v>8108.52</v>
      </c>
      <c r="E296" s="88">
        <f t="shared" si="57"/>
        <v>0</v>
      </c>
      <c r="F296" s="42">
        <f t="shared" si="57"/>
        <v>35615.520000000004</v>
      </c>
      <c r="G296" s="42">
        <f t="shared" si="57"/>
        <v>1.7</v>
      </c>
      <c r="H296" s="42">
        <f t="shared" si="57"/>
        <v>35617.560000000005</v>
      </c>
      <c r="I296" s="42">
        <f t="shared" si="57"/>
        <v>111.23</v>
      </c>
      <c r="J296" s="42">
        <f t="shared" si="57"/>
        <v>75.759999999999991</v>
      </c>
      <c r="K296" s="150">
        <f>SUM(K298:K299)</f>
        <v>35804.890000000007</v>
      </c>
      <c r="L296" s="123">
        <f>SUM(L298:L299)</f>
        <v>0</v>
      </c>
      <c r="M296" s="124">
        <f>SUM(M298:M299)</f>
        <v>336.3</v>
      </c>
      <c r="N296" s="123">
        <f>SUM(K296:M296)</f>
        <v>36141.19000000001</v>
      </c>
      <c r="O296" s="123">
        <f>SUM(O298:O299)</f>
        <v>0</v>
      </c>
      <c r="P296" s="123">
        <f>SUM(P298:P299)</f>
        <v>-688</v>
      </c>
      <c r="Q296" s="124">
        <f>SUM(Q298:Q299)</f>
        <v>-348.5</v>
      </c>
      <c r="R296" s="123">
        <f>SUM(R298:R299)</f>
        <v>-23.7</v>
      </c>
      <c r="S296" s="172">
        <f>SUM(N296:R296)</f>
        <v>35080.990000000013</v>
      </c>
      <c r="T296" s="122"/>
    </row>
    <row r="297" spans="1:20" ht="15" customHeight="1" x14ac:dyDescent="0.25">
      <c r="A297" s="57" t="s">
        <v>27</v>
      </c>
      <c r="B297" s="47"/>
      <c r="C297" s="31"/>
      <c r="D297" s="31"/>
      <c r="E297" s="82"/>
      <c r="F297" s="16"/>
      <c r="G297" s="27"/>
      <c r="H297" s="108"/>
      <c r="I297" s="108"/>
      <c r="J297" s="108"/>
      <c r="K297" s="144"/>
      <c r="L297" s="102"/>
      <c r="M297" s="103"/>
      <c r="N297" s="102"/>
      <c r="O297" s="102"/>
      <c r="P297" s="102"/>
      <c r="Q297" s="103"/>
      <c r="R297" s="102"/>
      <c r="S297" s="165"/>
    </row>
    <row r="298" spans="1:20" ht="15" customHeight="1" x14ac:dyDescent="0.25">
      <c r="A298" s="17" t="s">
        <v>30</v>
      </c>
      <c r="B298" s="49"/>
      <c r="C298" s="32">
        <v>100</v>
      </c>
      <c r="D298" s="32">
        <v>0</v>
      </c>
      <c r="E298" s="83">
        <v>0</v>
      </c>
      <c r="F298" s="19">
        <f>SUM(C298:E298)</f>
        <v>100</v>
      </c>
      <c r="G298" s="19">
        <f>1.7</f>
        <v>1.7</v>
      </c>
      <c r="H298" s="104">
        <f>SUM(F298:G298)+0.34</f>
        <v>102.04</v>
      </c>
      <c r="I298" s="104">
        <v>0</v>
      </c>
      <c r="J298" s="104">
        <f>3.5</f>
        <v>3.5</v>
      </c>
      <c r="K298" s="144">
        <f t="shared" si="54"/>
        <v>105.54</v>
      </c>
      <c r="L298" s="104">
        <v>0</v>
      </c>
      <c r="M298" s="103">
        <v>0</v>
      </c>
      <c r="N298" s="102">
        <f t="shared" si="49"/>
        <v>105.54</v>
      </c>
      <c r="O298" s="104">
        <v>0</v>
      </c>
      <c r="P298" s="104">
        <v>0</v>
      </c>
      <c r="Q298" s="105">
        <v>0</v>
      </c>
      <c r="R298" s="104">
        <v>0</v>
      </c>
      <c r="S298" s="173">
        <f>SUM(N298:R298)</f>
        <v>105.54</v>
      </c>
    </row>
    <row r="299" spans="1:20" ht="29.25" customHeight="1" thickBot="1" x14ac:dyDescent="0.3">
      <c r="A299" s="20" t="s">
        <v>206</v>
      </c>
      <c r="B299" s="45"/>
      <c r="C299" s="64">
        <v>27407</v>
      </c>
      <c r="D299" s="64">
        <f>5210.92+2944-46.4</f>
        <v>8108.52</v>
      </c>
      <c r="E299" s="84">
        <v>0</v>
      </c>
      <c r="F299" s="22">
        <f>SUM(C299:E299)</f>
        <v>35515.520000000004</v>
      </c>
      <c r="G299" s="22">
        <v>0</v>
      </c>
      <c r="H299" s="106">
        <f t="shared" si="48"/>
        <v>35515.520000000004</v>
      </c>
      <c r="I299" s="106">
        <v>111.23</v>
      </c>
      <c r="J299" s="106">
        <f>72.6-0.34</f>
        <v>72.259999999999991</v>
      </c>
      <c r="K299" s="228">
        <f>SUM(H299:J299)+0.34</f>
        <v>35699.350000000006</v>
      </c>
      <c r="L299" s="106">
        <v>0</v>
      </c>
      <c r="M299" s="137">
        <f>336.3</f>
        <v>336.3</v>
      </c>
      <c r="N299" s="108">
        <f t="shared" si="49"/>
        <v>36035.650000000009</v>
      </c>
      <c r="O299" s="106">
        <v>0</v>
      </c>
      <c r="P299" s="106">
        <f>-688</f>
        <v>-688</v>
      </c>
      <c r="Q299" s="107">
        <f>-348.5</f>
        <v>-348.5</v>
      </c>
      <c r="R299" s="106">
        <f>-23.7</f>
        <v>-23.7</v>
      </c>
      <c r="S299" s="182">
        <f>SUM(N299:R299)</f>
        <v>34975.450000000012</v>
      </c>
    </row>
    <row r="300" spans="1:20" ht="28.5" customHeight="1" thickBot="1" x14ac:dyDescent="0.3">
      <c r="A300" s="65" t="s">
        <v>207</v>
      </c>
      <c r="B300" s="50"/>
      <c r="C300" s="42">
        <f t="shared" ref="C300:J300" si="58">SUM(C302:C303)</f>
        <v>5667</v>
      </c>
      <c r="D300" s="42">
        <f t="shared" si="58"/>
        <v>0</v>
      </c>
      <c r="E300" s="88">
        <f t="shared" si="58"/>
        <v>0</v>
      </c>
      <c r="F300" s="42">
        <f t="shared" si="58"/>
        <v>5667</v>
      </c>
      <c r="G300" s="42">
        <f t="shared" si="58"/>
        <v>402.9</v>
      </c>
      <c r="H300" s="42">
        <f t="shared" si="58"/>
        <v>6269.9</v>
      </c>
      <c r="I300" s="42">
        <f t="shared" si="58"/>
        <v>575</v>
      </c>
      <c r="J300" s="42">
        <f t="shared" si="58"/>
        <v>712.57</v>
      </c>
      <c r="K300" s="150">
        <f t="shared" ref="K300:Q300" si="59">SUM(K302:K303)</f>
        <v>7867.07</v>
      </c>
      <c r="L300" s="123">
        <f t="shared" si="59"/>
        <v>0</v>
      </c>
      <c r="M300" s="124">
        <f t="shared" si="59"/>
        <v>279</v>
      </c>
      <c r="N300" s="123">
        <f t="shared" si="59"/>
        <v>9646.07</v>
      </c>
      <c r="O300" s="123">
        <f t="shared" si="59"/>
        <v>0</v>
      </c>
      <c r="P300" s="123">
        <f t="shared" si="59"/>
        <v>2099</v>
      </c>
      <c r="Q300" s="124">
        <f t="shared" si="59"/>
        <v>-1824.95</v>
      </c>
      <c r="R300" s="123">
        <f>SUM(R302:R303)</f>
        <v>163.9</v>
      </c>
      <c r="S300" s="172">
        <f>SUM(N300:R300)</f>
        <v>10084.019999999999</v>
      </c>
      <c r="T300" s="122"/>
    </row>
    <row r="301" spans="1:20" ht="13.5" customHeight="1" x14ac:dyDescent="0.25">
      <c r="A301" s="57" t="s">
        <v>27</v>
      </c>
      <c r="B301" s="47"/>
      <c r="C301" s="31"/>
      <c r="D301" s="31"/>
      <c r="E301" s="82"/>
      <c r="F301" s="16"/>
      <c r="G301" s="16"/>
      <c r="H301" s="102"/>
      <c r="I301" s="102"/>
      <c r="J301" s="102"/>
      <c r="K301" s="144"/>
      <c r="L301" s="102"/>
      <c r="M301" s="103"/>
      <c r="N301" s="102"/>
      <c r="O301" s="102"/>
      <c r="P301" s="102"/>
      <c r="Q301" s="103"/>
      <c r="R301" s="102"/>
      <c r="S301" s="165"/>
    </row>
    <row r="302" spans="1:20" ht="15.75" customHeight="1" x14ac:dyDescent="0.25">
      <c r="A302" s="54" t="s">
        <v>30</v>
      </c>
      <c r="B302" s="49"/>
      <c r="C302" s="109">
        <v>380</v>
      </c>
      <c r="D302" s="109">
        <v>0</v>
      </c>
      <c r="E302" s="105">
        <v>0</v>
      </c>
      <c r="F302" s="104">
        <f>SUM(C302:E302)</f>
        <v>380</v>
      </c>
      <c r="G302" s="104">
        <v>0</v>
      </c>
      <c r="H302" s="104">
        <f t="shared" si="48"/>
        <v>380</v>
      </c>
      <c r="I302" s="104">
        <v>0</v>
      </c>
      <c r="J302" s="104">
        <v>0</v>
      </c>
      <c r="K302" s="144">
        <f t="shared" si="54"/>
        <v>380</v>
      </c>
      <c r="L302" s="104">
        <v>0</v>
      </c>
      <c r="M302" s="103">
        <v>0</v>
      </c>
      <c r="N302" s="102">
        <f t="shared" si="49"/>
        <v>380</v>
      </c>
      <c r="O302" s="104">
        <v>0</v>
      </c>
      <c r="P302" s="104">
        <f>6</f>
        <v>6</v>
      </c>
      <c r="Q302" s="105">
        <v>0</v>
      </c>
      <c r="R302" s="104">
        <v>0</v>
      </c>
      <c r="S302" s="173">
        <f>SUM(N302:R302)</f>
        <v>386</v>
      </c>
    </row>
    <row r="303" spans="1:20" ht="27" customHeight="1" thickBot="1" x14ac:dyDescent="0.3">
      <c r="A303" s="20" t="s">
        <v>208</v>
      </c>
      <c r="B303" s="45"/>
      <c r="C303" s="111">
        <v>5287</v>
      </c>
      <c r="D303" s="111">
        <v>0</v>
      </c>
      <c r="E303" s="107">
        <v>0</v>
      </c>
      <c r="F303" s="106">
        <f t="shared" ref="F303" si="60">SUM(C303:E303)</f>
        <v>5287</v>
      </c>
      <c r="G303" s="106">
        <f>200+202.9</f>
        <v>402.9</v>
      </c>
      <c r="H303" s="106">
        <f>SUM(F303:G303)+200</f>
        <v>5889.9</v>
      </c>
      <c r="I303" s="106">
        <v>575</v>
      </c>
      <c r="J303" s="106">
        <f>712.57</f>
        <v>712.57</v>
      </c>
      <c r="K303" s="228">
        <f>SUM(H303:J303)+309.6</f>
        <v>7487.07</v>
      </c>
      <c r="L303" s="106">
        <v>0</v>
      </c>
      <c r="M303" s="137">
        <f>279</f>
        <v>279</v>
      </c>
      <c r="N303" s="108">
        <f>SUM(K303:M303)+1500</f>
        <v>9266.07</v>
      </c>
      <c r="O303" s="106">
        <v>0</v>
      </c>
      <c r="P303" s="106">
        <f>2099-6</f>
        <v>2093</v>
      </c>
      <c r="Q303" s="107">
        <f>-324.95-1500</f>
        <v>-1824.95</v>
      </c>
      <c r="R303" s="106">
        <f>136.5+27.4</f>
        <v>163.9</v>
      </c>
      <c r="S303" s="182">
        <f>SUM(N303:R303)</f>
        <v>9698.0199999999986</v>
      </c>
    </row>
    <row r="304" spans="1:20" ht="16.5" customHeight="1" thickBot="1" x14ac:dyDescent="0.3">
      <c r="A304" s="66" t="s">
        <v>209</v>
      </c>
      <c r="B304" s="67"/>
      <c r="C304" s="68">
        <f t="shared" ref="C304:H304" si="61">SUM(C24+C47+C52+C60+C64+C69+C185+C199+C208+C262+C266+C292+C296+C300)</f>
        <v>1553728.91</v>
      </c>
      <c r="D304" s="68">
        <f t="shared" si="61"/>
        <v>6087.43</v>
      </c>
      <c r="E304" s="68">
        <f t="shared" si="61"/>
        <v>58806.520000000004</v>
      </c>
      <c r="F304" s="68">
        <f t="shared" si="61"/>
        <v>1592091.86</v>
      </c>
      <c r="G304" s="68">
        <f t="shared" si="61"/>
        <v>57459.64</v>
      </c>
      <c r="H304" s="68">
        <f t="shared" si="61"/>
        <v>1680449.24</v>
      </c>
      <c r="I304" s="68">
        <f>I24+I47+I52+I60+I64+I69+I185+I199+I208+I262+I266+I292+I296+I300</f>
        <v>17096.48</v>
      </c>
      <c r="J304" s="68">
        <f>SUM(J24+J47+J52+J60+J64+J69++J185+J199+J208+J262+J266+J292+J296+J300)</f>
        <v>22597.939999999995</v>
      </c>
      <c r="K304" s="151">
        <f>SUM(K24+K47+K52+K60+K64+K69+K185+K199+K208+K262+K266+K292+K296+K300)</f>
        <v>1721001.14</v>
      </c>
      <c r="L304" s="128">
        <f>SUM(L24+L47+L52+L60+L64+L69+L185+L199+L208+L262+L266+L292+L296+L300)</f>
        <v>14707.660000000002</v>
      </c>
      <c r="M304" s="180">
        <f>SUM(M24+M47+M52+M60+M64+M69+M185+M199+M208+M262+M266+M292+M296+M300)</f>
        <v>1924.28</v>
      </c>
      <c r="N304" s="128">
        <f t="shared" si="49"/>
        <v>1737633.0799999998</v>
      </c>
      <c r="O304" s="128">
        <f>SUM(O24+O47+O52+O60+O64+O69+O185+O199+O208+O262+O266+O292+O296+O300)</f>
        <v>0</v>
      </c>
      <c r="P304" s="128">
        <f>SUM(P24+P47+P52+P60+P64+P69+P185+P199+P208+P262+P266+P292+P296+P300)</f>
        <v>4575.92</v>
      </c>
      <c r="Q304" s="180">
        <f>SUM(Q24+Q47+Q52+Q60+Q64+Q69+Q185+Q199+Q208+Q262+Q266+Q292+Q296+Q300)</f>
        <v>-40154.74</v>
      </c>
      <c r="R304" s="128">
        <f>SUM(R24+R47+R52+R60+R64+R69+R185+R199+R208+R262+R266+R292+R296+R300)</f>
        <v>402.39</v>
      </c>
      <c r="S304" s="174">
        <f>SUM(N304:R304)</f>
        <v>1702456.6499999997</v>
      </c>
      <c r="T304" s="122"/>
    </row>
    <row r="305" spans="1:20" ht="13.5" customHeight="1" thickBot="1" x14ac:dyDescent="0.3">
      <c r="A305" s="187"/>
      <c r="B305" s="188"/>
      <c r="C305" s="189"/>
      <c r="D305" s="189"/>
      <c r="E305" s="190"/>
      <c r="F305" s="191"/>
      <c r="G305" s="191"/>
      <c r="H305" s="191"/>
      <c r="I305" s="191"/>
      <c r="J305" s="191"/>
      <c r="K305" s="192"/>
      <c r="L305" s="193"/>
      <c r="M305" s="194"/>
      <c r="N305" s="193"/>
      <c r="O305" s="193"/>
      <c r="P305" s="193"/>
      <c r="Q305" s="194"/>
      <c r="R305" s="193"/>
      <c r="S305" s="195"/>
    </row>
    <row r="306" spans="1:20" ht="15.75" customHeight="1" thickBot="1" x14ac:dyDescent="0.3">
      <c r="A306" s="66" t="s">
        <v>210</v>
      </c>
      <c r="B306" s="196"/>
      <c r="C306" s="39"/>
      <c r="D306" s="39"/>
      <c r="E306" s="87"/>
      <c r="F306" s="39"/>
      <c r="G306" s="39"/>
      <c r="H306" s="120"/>
      <c r="I306" s="120"/>
      <c r="J306" s="120"/>
      <c r="K306" s="149"/>
      <c r="L306" s="120"/>
      <c r="M306" s="179"/>
      <c r="N306" s="120"/>
      <c r="O306" s="120"/>
      <c r="P306" s="120"/>
      <c r="Q306" s="179"/>
      <c r="R306" s="120"/>
      <c r="S306" s="171"/>
    </row>
    <row r="307" spans="1:20" ht="17.25" customHeight="1" thickBot="1" x14ac:dyDescent="0.3">
      <c r="A307" s="56" t="s">
        <v>26</v>
      </c>
      <c r="B307" s="50"/>
      <c r="C307" s="42">
        <f t="shared" ref="C307" si="62">SUM(C309)</f>
        <v>0</v>
      </c>
      <c r="D307" s="42">
        <f t="shared" ref="D307:J307" si="63">SUM(D309)</f>
        <v>0</v>
      </c>
      <c r="E307" s="88">
        <f t="shared" si="63"/>
        <v>0</v>
      </c>
      <c r="F307" s="42">
        <f t="shared" si="63"/>
        <v>0</v>
      </c>
      <c r="G307" s="42">
        <f t="shared" si="63"/>
        <v>0</v>
      </c>
      <c r="H307" s="42">
        <f t="shared" si="63"/>
        <v>50</v>
      </c>
      <c r="I307" s="42">
        <f t="shared" si="63"/>
        <v>0</v>
      </c>
      <c r="J307" s="42">
        <f t="shared" si="63"/>
        <v>0</v>
      </c>
      <c r="K307" s="150">
        <f t="shared" si="54"/>
        <v>50</v>
      </c>
      <c r="L307" s="123">
        <f>SUM(L309)</f>
        <v>0</v>
      </c>
      <c r="M307" s="124">
        <f>SUM(M309)</f>
        <v>0</v>
      </c>
      <c r="N307" s="123">
        <f t="shared" si="49"/>
        <v>50</v>
      </c>
      <c r="O307" s="123">
        <f>SUM(O309)</f>
        <v>0</v>
      </c>
      <c r="P307" s="123">
        <f>SUM(P309)</f>
        <v>0</v>
      </c>
      <c r="Q307" s="124">
        <f>SUM(Q309)</f>
        <v>0</v>
      </c>
      <c r="R307" s="123">
        <f>SUM(R309)</f>
        <v>0</v>
      </c>
      <c r="S307" s="172">
        <f>SUM(N307:R307)</f>
        <v>50</v>
      </c>
      <c r="T307" s="122"/>
    </row>
    <row r="308" spans="1:20" ht="15" customHeight="1" x14ac:dyDescent="0.25">
      <c r="A308" s="57" t="s">
        <v>27</v>
      </c>
      <c r="B308" s="47"/>
      <c r="C308" s="16"/>
      <c r="D308" s="16"/>
      <c r="E308" s="82"/>
      <c r="F308" s="16"/>
      <c r="G308" s="16"/>
      <c r="H308" s="102"/>
      <c r="I308" s="102"/>
      <c r="J308" s="102"/>
      <c r="K308" s="144"/>
      <c r="L308" s="102"/>
      <c r="M308" s="103"/>
      <c r="N308" s="102"/>
      <c r="O308" s="102"/>
      <c r="P308" s="102"/>
      <c r="Q308" s="103"/>
      <c r="R308" s="102"/>
      <c r="S308" s="165"/>
    </row>
    <row r="309" spans="1:20" ht="18" customHeight="1" thickBot="1" x14ac:dyDescent="0.3">
      <c r="A309" s="55" t="s">
        <v>211</v>
      </c>
      <c r="B309" s="45"/>
      <c r="C309" s="22">
        <v>0</v>
      </c>
      <c r="D309" s="22">
        <v>0</v>
      </c>
      <c r="E309" s="84">
        <v>0</v>
      </c>
      <c r="F309" s="22">
        <f>SUM(C309:E309)</f>
        <v>0</v>
      </c>
      <c r="G309" s="22">
        <v>0</v>
      </c>
      <c r="H309" s="106">
        <f>SUM(F309:G309)+50</f>
        <v>50</v>
      </c>
      <c r="I309" s="106">
        <v>0</v>
      </c>
      <c r="J309" s="106">
        <v>0</v>
      </c>
      <c r="K309" s="113">
        <f t="shared" si="54"/>
        <v>50</v>
      </c>
      <c r="L309" s="106">
        <v>0</v>
      </c>
      <c r="M309" s="137">
        <v>0</v>
      </c>
      <c r="N309" s="108">
        <f t="shared" si="49"/>
        <v>50</v>
      </c>
      <c r="O309" s="106">
        <v>0</v>
      </c>
      <c r="P309" s="106">
        <v>0</v>
      </c>
      <c r="Q309" s="107">
        <v>0</v>
      </c>
      <c r="R309" s="106">
        <v>0</v>
      </c>
      <c r="S309" s="182">
        <f>SUM(N309:R309)</f>
        <v>50</v>
      </c>
    </row>
    <row r="310" spans="1:20" ht="17.25" customHeight="1" thickBot="1" x14ac:dyDescent="0.3">
      <c r="A310" s="56" t="s">
        <v>212</v>
      </c>
      <c r="B310" s="50"/>
      <c r="C310" s="42">
        <f t="shared" ref="C310:J310" si="64">SUM(C312:C314)</f>
        <v>8000</v>
      </c>
      <c r="D310" s="42">
        <f t="shared" si="64"/>
        <v>50</v>
      </c>
      <c r="E310" s="88">
        <f t="shared" si="64"/>
        <v>0</v>
      </c>
      <c r="F310" s="42">
        <f t="shared" si="64"/>
        <v>8050</v>
      </c>
      <c r="G310" s="42">
        <f t="shared" si="64"/>
        <v>0</v>
      </c>
      <c r="H310" s="42">
        <f t="shared" si="64"/>
        <v>8050</v>
      </c>
      <c r="I310" s="42">
        <f t="shared" si="64"/>
        <v>0</v>
      </c>
      <c r="J310" s="42">
        <f t="shared" si="64"/>
        <v>0</v>
      </c>
      <c r="K310" s="150">
        <f t="shared" si="54"/>
        <v>8050</v>
      </c>
      <c r="L310" s="123">
        <f>SUM(L312:L314)</f>
        <v>0</v>
      </c>
      <c r="M310" s="124">
        <f>SUM(M312:M314)</f>
        <v>0</v>
      </c>
      <c r="N310" s="123">
        <f t="shared" si="49"/>
        <v>8050</v>
      </c>
      <c r="O310" s="123">
        <f>SUM(O312:O314)</f>
        <v>0</v>
      </c>
      <c r="P310" s="123">
        <f>SUM(P312:P314)</f>
        <v>0</v>
      </c>
      <c r="Q310" s="124">
        <f>SUM(Q312:Q314)</f>
        <v>0</v>
      </c>
      <c r="R310" s="123">
        <f>SUM(R312:R314)</f>
        <v>0</v>
      </c>
      <c r="S310" s="172">
        <f>SUM(N310:R310)</f>
        <v>8050</v>
      </c>
      <c r="T310" s="122"/>
    </row>
    <row r="311" spans="1:20" ht="15" customHeight="1" x14ac:dyDescent="0.25">
      <c r="A311" s="57" t="s">
        <v>27</v>
      </c>
      <c r="B311" s="47"/>
      <c r="C311" s="16"/>
      <c r="D311" s="16"/>
      <c r="E311" s="82"/>
      <c r="F311" s="16"/>
      <c r="G311" s="16"/>
      <c r="H311" s="102"/>
      <c r="I311" s="102"/>
      <c r="J311" s="102"/>
      <c r="K311" s="144"/>
      <c r="L311" s="102"/>
      <c r="M311" s="103"/>
      <c r="N311" s="102"/>
      <c r="O311" s="102"/>
      <c r="P311" s="102"/>
      <c r="Q311" s="103"/>
      <c r="R311" s="102"/>
      <c r="S311" s="165"/>
    </row>
    <row r="312" spans="1:20" ht="16.5" customHeight="1" x14ac:dyDescent="0.25">
      <c r="A312" s="54" t="s">
        <v>213</v>
      </c>
      <c r="B312" s="49"/>
      <c r="C312" s="104">
        <v>8000</v>
      </c>
      <c r="D312" s="104">
        <f>50</f>
        <v>50</v>
      </c>
      <c r="E312" s="105">
        <v>0</v>
      </c>
      <c r="F312" s="104">
        <f>SUM(C312:E312)</f>
        <v>8050</v>
      </c>
      <c r="G312" s="104">
        <v>0</v>
      </c>
      <c r="H312" s="104">
        <f t="shared" si="48"/>
        <v>8050</v>
      </c>
      <c r="I312" s="104">
        <v>0</v>
      </c>
      <c r="J312" s="104">
        <v>0</v>
      </c>
      <c r="K312" s="144">
        <f t="shared" si="54"/>
        <v>8050</v>
      </c>
      <c r="L312" s="104">
        <v>0</v>
      </c>
      <c r="M312" s="103">
        <v>0</v>
      </c>
      <c r="N312" s="102">
        <f t="shared" si="49"/>
        <v>8050</v>
      </c>
      <c r="O312" s="104">
        <v>0</v>
      </c>
      <c r="P312" s="104">
        <v>0</v>
      </c>
      <c r="Q312" s="105">
        <v>0</v>
      </c>
      <c r="R312" s="104">
        <v>0</v>
      </c>
      <c r="S312" s="173">
        <f>SUM(N312:R312)</f>
        <v>8050</v>
      </c>
    </row>
    <row r="313" spans="1:20" ht="17.25" customHeight="1" x14ac:dyDescent="0.25">
      <c r="A313" s="54" t="s">
        <v>214</v>
      </c>
      <c r="B313" s="49"/>
      <c r="C313" s="104">
        <v>0</v>
      </c>
      <c r="D313" s="104">
        <v>0</v>
      </c>
      <c r="E313" s="105">
        <v>0</v>
      </c>
      <c r="F313" s="104">
        <f t="shared" ref="F313:F314" si="65">SUM(C313:E313)</f>
        <v>0</v>
      </c>
      <c r="G313" s="104">
        <v>0</v>
      </c>
      <c r="H313" s="104">
        <f t="shared" si="48"/>
        <v>0</v>
      </c>
      <c r="I313" s="104">
        <v>0</v>
      </c>
      <c r="J313" s="104">
        <v>0</v>
      </c>
      <c r="K313" s="144">
        <f t="shared" si="54"/>
        <v>0</v>
      </c>
      <c r="L313" s="104">
        <v>0</v>
      </c>
      <c r="M313" s="103">
        <v>0</v>
      </c>
      <c r="N313" s="102">
        <f t="shared" si="49"/>
        <v>0</v>
      </c>
      <c r="O313" s="104">
        <v>0</v>
      </c>
      <c r="P313" s="104">
        <v>0</v>
      </c>
      <c r="Q313" s="105">
        <v>0</v>
      </c>
      <c r="R313" s="104">
        <v>0</v>
      </c>
      <c r="S313" s="173">
        <f>SUM(N313:R313)</f>
        <v>0</v>
      </c>
    </row>
    <row r="314" spans="1:20" ht="17.25" customHeight="1" thickBot="1" x14ac:dyDescent="0.3">
      <c r="A314" s="55" t="s">
        <v>215</v>
      </c>
      <c r="B314" s="45"/>
      <c r="C314" s="106">
        <v>0</v>
      </c>
      <c r="D314" s="106">
        <v>0</v>
      </c>
      <c r="E314" s="107">
        <v>0</v>
      </c>
      <c r="F314" s="106">
        <f t="shared" si="65"/>
        <v>0</v>
      </c>
      <c r="G314" s="106">
        <v>0</v>
      </c>
      <c r="H314" s="106">
        <f t="shared" si="48"/>
        <v>0</v>
      </c>
      <c r="I314" s="106">
        <v>0</v>
      </c>
      <c r="J314" s="106">
        <v>0</v>
      </c>
      <c r="K314" s="228">
        <f t="shared" si="54"/>
        <v>0</v>
      </c>
      <c r="L314" s="106">
        <v>0</v>
      </c>
      <c r="M314" s="137">
        <v>0</v>
      </c>
      <c r="N314" s="108">
        <f t="shared" si="49"/>
        <v>0</v>
      </c>
      <c r="O314" s="106">
        <v>0</v>
      </c>
      <c r="P314" s="106">
        <v>0</v>
      </c>
      <c r="Q314" s="107">
        <v>0</v>
      </c>
      <c r="R314" s="106">
        <v>0</v>
      </c>
      <c r="S314" s="182">
        <f>SUM(N314:R314)</f>
        <v>0</v>
      </c>
    </row>
    <row r="315" spans="1:20" ht="16.5" customHeight="1" thickBot="1" x14ac:dyDescent="0.3">
      <c r="A315" s="56" t="s">
        <v>33</v>
      </c>
      <c r="B315" s="50"/>
      <c r="C315" s="42">
        <f t="shared" ref="C315" si="66">SUM(C317:C324)</f>
        <v>146292.67000000001</v>
      </c>
      <c r="D315" s="42">
        <f t="shared" ref="D315:J315" si="67">SUM(D317:D324)</f>
        <v>-141.66</v>
      </c>
      <c r="E315" s="88">
        <f t="shared" si="67"/>
        <v>162688.91999999998</v>
      </c>
      <c r="F315" s="42">
        <f t="shared" si="67"/>
        <v>308839.93</v>
      </c>
      <c r="G315" s="42">
        <f t="shared" si="67"/>
        <v>-15200</v>
      </c>
      <c r="H315" s="42">
        <f t="shared" si="67"/>
        <v>292450.93</v>
      </c>
      <c r="I315" s="42">
        <f t="shared" si="67"/>
        <v>1894.32</v>
      </c>
      <c r="J315" s="42">
        <f t="shared" si="67"/>
        <v>-3159.5</v>
      </c>
      <c r="K315" s="150">
        <f>SUM(K317:K324)</f>
        <v>288113.28000000003</v>
      </c>
      <c r="L315" s="123">
        <f>SUM(L317:L324)</f>
        <v>0</v>
      </c>
      <c r="M315" s="124">
        <f>SUM(M317:M324)</f>
        <v>-660</v>
      </c>
      <c r="N315" s="123">
        <f t="shared" si="49"/>
        <v>287453.28000000003</v>
      </c>
      <c r="O315" s="123">
        <f>SUM(O317:O324)</f>
        <v>0</v>
      </c>
      <c r="P315" s="123">
        <f>SUM(P317:P324)</f>
        <v>-1372.37</v>
      </c>
      <c r="Q315" s="124">
        <f>SUM(Q317:Q324)</f>
        <v>-268408.02</v>
      </c>
      <c r="R315" s="123">
        <f>SUM(R317:R324)</f>
        <v>0</v>
      </c>
      <c r="S315" s="172">
        <f>SUM(N315:R315)</f>
        <v>17672.890000000014</v>
      </c>
      <c r="T315" s="122"/>
    </row>
    <row r="316" spans="1:20" ht="15" customHeight="1" x14ac:dyDescent="0.25">
      <c r="A316" s="57" t="s">
        <v>27</v>
      </c>
      <c r="B316" s="47"/>
      <c r="C316" s="16"/>
      <c r="D316" s="16"/>
      <c r="E316" s="82"/>
      <c r="F316" s="16"/>
      <c r="G316" s="16"/>
      <c r="H316" s="102"/>
      <c r="I316" s="102"/>
      <c r="J316" s="102"/>
      <c r="K316" s="144"/>
      <c r="L316" s="102"/>
      <c r="M316" s="103"/>
      <c r="N316" s="102"/>
      <c r="O316" s="102"/>
      <c r="P316" s="102"/>
      <c r="Q316" s="103"/>
      <c r="R316" s="102"/>
      <c r="S316" s="165"/>
    </row>
    <row r="317" spans="1:20" ht="15.75" customHeight="1" x14ac:dyDescent="0.25">
      <c r="A317" s="54" t="s">
        <v>216</v>
      </c>
      <c r="B317" s="49"/>
      <c r="C317" s="104">
        <v>1600</v>
      </c>
      <c r="D317" s="104">
        <v>0</v>
      </c>
      <c r="E317" s="105">
        <v>4456.45</v>
      </c>
      <c r="F317" s="104">
        <f>SUM(C317:E317)</f>
        <v>6056.45</v>
      </c>
      <c r="G317" s="104">
        <v>0</v>
      </c>
      <c r="H317" s="104">
        <f t="shared" si="48"/>
        <v>6056.45</v>
      </c>
      <c r="I317" s="104">
        <v>0</v>
      </c>
      <c r="J317" s="104">
        <f>-121</f>
        <v>-121</v>
      </c>
      <c r="K317" s="144">
        <f>SUM(H317:J317)-45.47</f>
        <v>5889.98</v>
      </c>
      <c r="L317" s="104">
        <v>0</v>
      </c>
      <c r="M317" s="103">
        <f>-350</f>
        <v>-350</v>
      </c>
      <c r="N317" s="102">
        <f t="shared" si="49"/>
        <v>5539.98</v>
      </c>
      <c r="O317" s="104">
        <v>0</v>
      </c>
      <c r="P317" s="104">
        <f>13.69</f>
        <v>13.69</v>
      </c>
      <c r="Q317" s="105">
        <v>0</v>
      </c>
      <c r="R317" s="104">
        <v>0</v>
      </c>
      <c r="S317" s="173">
        <f t="shared" ref="S317:S325" si="68">SUM(N317:R317)</f>
        <v>5553.6699999999992</v>
      </c>
    </row>
    <row r="318" spans="1:20" ht="17.25" customHeight="1" x14ac:dyDescent="0.25">
      <c r="A318" s="54" t="s">
        <v>217</v>
      </c>
      <c r="B318" s="49"/>
      <c r="C318" s="104">
        <v>3100</v>
      </c>
      <c r="D318" s="104">
        <f>-81.66</f>
        <v>-81.66</v>
      </c>
      <c r="E318" s="105">
        <v>4753.5600000000004</v>
      </c>
      <c r="F318" s="104">
        <f t="shared" ref="F318:F324" si="69">SUM(C318:E318)</f>
        <v>7771.9000000000005</v>
      </c>
      <c r="G318" s="104">
        <v>0</v>
      </c>
      <c r="H318" s="104">
        <f>SUM(F318:G318)-1181</f>
        <v>6590.9000000000005</v>
      </c>
      <c r="I318" s="104">
        <v>0</v>
      </c>
      <c r="J318" s="104">
        <f>-161</f>
        <v>-161</v>
      </c>
      <c r="K318" s="144">
        <f>SUM(H318:J318)-3027</f>
        <v>3402.9000000000005</v>
      </c>
      <c r="L318" s="104">
        <v>0</v>
      </c>
      <c r="M318" s="103">
        <f>-310</f>
        <v>-310</v>
      </c>
      <c r="N318" s="102">
        <f t="shared" si="49"/>
        <v>3092.9000000000005</v>
      </c>
      <c r="O318" s="104">
        <v>0</v>
      </c>
      <c r="P318" s="104">
        <f>-1365.06</f>
        <v>-1365.06</v>
      </c>
      <c r="Q318" s="105">
        <v>0</v>
      </c>
      <c r="R318" s="104">
        <v>0</v>
      </c>
      <c r="S318" s="173">
        <f t="shared" si="68"/>
        <v>1727.8400000000006</v>
      </c>
    </row>
    <row r="319" spans="1:20" ht="25.5" customHeight="1" x14ac:dyDescent="0.25">
      <c r="A319" s="17" t="s">
        <v>218</v>
      </c>
      <c r="B319" s="49"/>
      <c r="C319" s="104">
        <v>1300</v>
      </c>
      <c r="D319" s="104">
        <f>-60</f>
        <v>-60</v>
      </c>
      <c r="E319" s="105">
        <v>2267.6799999999998</v>
      </c>
      <c r="F319" s="104">
        <f t="shared" si="69"/>
        <v>3507.68</v>
      </c>
      <c r="G319" s="104">
        <v>0</v>
      </c>
      <c r="H319" s="104">
        <f t="shared" si="48"/>
        <v>3507.68</v>
      </c>
      <c r="I319" s="104">
        <v>0</v>
      </c>
      <c r="J319" s="104">
        <v>0</v>
      </c>
      <c r="K319" s="144">
        <f t="shared" si="54"/>
        <v>3507.68</v>
      </c>
      <c r="L319" s="104">
        <v>0</v>
      </c>
      <c r="M319" s="103">
        <v>0</v>
      </c>
      <c r="N319" s="102">
        <f t="shared" si="49"/>
        <v>3507.68</v>
      </c>
      <c r="O319" s="104">
        <v>0</v>
      </c>
      <c r="P319" s="104">
        <f>-21</f>
        <v>-21</v>
      </c>
      <c r="Q319" s="105">
        <v>0</v>
      </c>
      <c r="R319" s="104">
        <v>0</v>
      </c>
      <c r="S319" s="173">
        <f t="shared" si="68"/>
        <v>3486.68</v>
      </c>
    </row>
    <row r="320" spans="1:20" ht="17.25" customHeight="1" x14ac:dyDescent="0.25">
      <c r="A320" s="54" t="s">
        <v>219</v>
      </c>
      <c r="B320" s="49"/>
      <c r="C320" s="104">
        <v>2900</v>
      </c>
      <c r="D320" s="104">
        <v>0</v>
      </c>
      <c r="E320" s="105">
        <v>5211.2</v>
      </c>
      <c r="F320" s="104">
        <f t="shared" si="69"/>
        <v>8111.2</v>
      </c>
      <c r="G320" s="104">
        <v>0</v>
      </c>
      <c r="H320" s="104">
        <f t="shared" si="48"/>
        <v>8111.2</v>
      </c>
      <c r="I320" s="104">
        <v>0</v>
      </c>
      <c r="J320" s="104">
        <f>-2598-279.5</f>
        <v>-2877.5</v>
      </c>
      <c r="K320" s="144">
        <f t="shared" si="54"/>
        <v>5233.7</v>
      </c>
      <c r="L320" s="104">
        <v>0</v>
      </c>
      <c r="M320" s="103">
        <v>0</v>
      </c>
      <c r="N320" s="102">
        <f t="shared" si="49"/>
        <v>5233.7</v>
      </c>
      <c r="O320" s="104">
        <v>0</v>
      </c>
      <c r="P320" s="104">
        <v>0</v>
      </c>
      <c r="Q320" s="105">
        <v>0</v>
      </c>
      <c r="R320" s="104">
        <v>0</v>
      </c>
      <c r="S320" s="173">
        <f t="shared" si="68"/>
        <v>5233.7</v>
      </c>
    </row>
    <row r="321" spans="1:20" ht="24.75" customHeight="1" x14ac:dyDescent="0.25">
      <c r="A321" s="17" t="s">
        <v>220</v>
      </c>
      <c r="B321" s="49"/>
      <c r="C321" s="104">
        <v>1100</v>
      </c>
      <c r="D321" s="104">
        <v>0</v>
      </c>
      <c r="E321" s="105">
        <v>579</v>
      </c>
      <c r="F321" s="104">
        <f t="shared" si="69"/>
        <v>1679</v>
      </c>
      <c r="G321" s="104">
        <v>0</v>
      </c>
      <c r="H321" s="104">
        <f>SUM(F321:G321)-8</f>
        <v>1671</v>
      </c>
      <c r="I321" s="104">
        <v>0</v>
      </c>
      <c r="J321" s="104">
        <v>0</v>
      </c>
      <c r="K321" s="115">
        <f t="shared" si="54"/>
        <v>1671</v>
      </c>
      <c r="L321" s="104">
        <v>0</v>
      </c>
      <c r="M321" s="103">
        <v>0</v>
      </c>
      <c r="N321" s="102">
        <f t="shared" si="49"/>
        <v>1671</v>
      </c>
      <c r="O321" s="104">
        <v>0</v>
      </c>
      <c r="P321" s="104">
        <v>0</v>
      </c>
      <c r="Q321" s="105">
        <v>0</v>
      </c>
      <c r="R321" s="104">
        <v>0</v>
      </c>
      <c r="S321" s="173">
        <f t="shared" si="68"/>
        <v>1671</v>
      </c>
    </row>
    <row r="322" spans="1:20" ht="26.25" customHeight="1" x14ac:dyDescent="0.25">
      <c r="A322" s="17" t="s">
        <v>221</v>
      </c>
      <c r="B322" s="49"/>
      <c r="C322" s="104">
        <v>2677.75</v>
      </c>
      <c r="D322" s="104">
        <v>0</v>
      </c>
      <c r="E322" s="105">
        <v>0</v>
      </c>
      <c r="F322" s="104">
        <f t="shared" si="69"/>
        <v>2677.75</v>
      </c>
      <c r="G322" s="104">
        <v>0</v>
      </c>
      <c r="H322" s="104">
        <f t="shared" si="48"/>
        <v>2677.75</v>
      </c>
      <c r="I322" s="104">
        <v>0</v>
      </c>
      <c r="J322" s="104">
        <v>0</v>
      </c>
      <c r="K322" s="144">
        <f t="shared" si="54"/>
        <v>2677.75</v>
      </c>
      <c r="L322" s="104">
        <v>0</v>
      </c>
      <c r="M322" s="103">
        <v>0</v>
      </c>
      <c r="N322" s="102">
        <f t="shared" si="49"/>
        <v>2677.75</v>
      </c>
      <c r="O322" s="104">
        <v>0</v>
      </c>
      <c r="P322" s="104">
        <v>0</v>
      </c>
      <c r="Q322" s="105">
        <f>-2677.75</f>
        <v>-2677.75</v>
      </c>
      <c r="R322" s="104">
        <v>0</v>
      </c>
      <c r="S322" s="173">
        <f t="shared" si="68"/>
        <v>0</v>
      </c>
    </row>
    <row r="323" spans="1:20" ht="24.75" customHeight="1" x14ac:dyDescent="0.25">
      <c r="A323" s="17" t="s">
        <v>222</v>
      </c>
      <c r="B323" s="49"/>
      <c r="C323" s="19">
        <v>133614.92000000001</v>
      </c>
      <c r="D323" s="19">
        <v>0</v>
      </c>
      <c r="E323" s="83">
        <v>145421.03</v>
      </c>
      <c r="F323" s="19">
        <f t="shared" si="69"/>
        <v>279035.95</v>
      </c>
      <c r="G323" s="19">
        <f>-4200-11000</f>
        <v>-15200</v>
      </c>
      <c r="H323" s="104">
        <f t="shared" si="48"/>
        <v>263835.95</v>
      </c>
      <c r="I323" s="104">
        <v>1894.32</v>
      </c>
      <c r="J323" s="104">
        <v>0</v>
      </c>
      <c r="K323" s="144">
        <f t="shared" si="54"/>
        <v>265730.27</v>
      </c>
      <c r="L323" s="104">
        <v>0</v>
      </c>
      <c r="M323" s="103">
        <v>0</v>
      </c>
      <c r="N323" s="102">
        <f t="shared" si="49"/>
        <v>265730.27</v>
      </c>
      <c r="O323" s="104">
        <v>0</v>
      </c>
      <c r="P323" s="104">
        <v>0</v>
      </c>
      <c r="Q323" s="105">
        <f>-265730.27</f>
        <v>-265730.27</v>
      </c>
      <c r="R323" s="104">
        <v>0</v>
      </c>
      <c r="S323" s="173">
        <f t="shared" si="68"/>
        <v>0</v>
      </c>
    </row>
    <row r="324" spans="1:20" ht="15.75" customHeight="1" thickBot="1" x14ac:dyDescent="0.3">
      <c r="A324" s="55" t="s">
        <v>223</v>
      </c>
      <c r="B324" s="45"/>
      <c r="C324" s="22">
        <v>0</v>
      </c>
      <c r="D324" s="22">
        <v>0</v>
      </c>
      <c r="E324" s="84">
        <v>0</v>
      </c>
      <c r="F324" s="22">
        <f t="shared" si="69"/>
        <v>0</v>
      </c>
      <c r="G324" s="22">
        <v>0</v>
      </c>
      <c r="H324" s="106">
        <f t="shared" si="48"/>
        <v>0</v>
      </c>
      <c r="I324" s="106">
        <v>0</v>
      </c>
      <c r="J324" s="106">
        <v>0</v>
      </c>
      <c r="K324" s="113">
        <f t="shared" si="54"/>
        <v>0</v>
      </c>
      <c r="L324" s="106">
        <v>0</v>
      </c>
      <c r="M324" s="107">
        <v>0</v>
      </c>
      <c r="N324" s="106">
        <f t="shared" si="49"/>
        <v>0</v>
      </c>
      <c r="O324" s="106">
        <v>0</v>
      </c>
      <c r="P324" s="106">
        <v>0</v>
      </c>
      <c r="Q324" s="107">
        <v>0</v>
      </c>
      <c r="R324" s="106">
        <v>0</v>
      </c>
      <c r="S324" s="182">
        <f t="shared" si="68"/>
        <v>0</v>
      </c>
    </row>
    <row r="325" spans="1:20" ht="15" customHeight="1" thickBot="1" x14ac:dyDescent="0.3">
      <c r="A325" s="56" t="s">
        <v>41</v>
      </c>
      <c r="B325" s="50"/>
      <c r="C325" s="42">
        <f t="shared" ref="C325:J325" si="70">SUM(C327:C329)</f>
        <v>14737.300000000001</v>
      </c>
      <c r="D325" s="42">
        <f t="shared" si="70"/>
        <v>8656.35</v>
      </c>
      <c r="E325" s="88">
        <f t="shared" si="70"/>
        <v>834.93000000000006</v>
      </c>
      <c r="F325" s="42">
        <f t="shared" si="70"/>
        <v>24228.58</v>
      </c>
      <c r="G325" s="42">
        <f t="shared" si="70"/>
        <v>1363.46</v>
      </c>
      <c r="H325" s="42">
        <f t="shared" si="70"/>
        <v>26605.34</v>
      </c>
      <c r="I325" s="42">
        <f t="shared" si="70"/>
        <v>21000</v>
      </c>
      <c r="J325" s="42">
        <f t="shared" si="70"/>
        <v>4143.5</v>
      </c>
      <c r="K325" s="150">
        <f>SUM(K327:K329)</f>
        <v>51875.839999999997</v>
      </c>
      <c r="L325" s="123">
        <f>SUM(L327:L329)</f>
        <v>1840</v>
      </c>
      <c r="M325" s="124">
        <f>SUM(M327:M329)</f>
        <v>97</v>
      </c>
      <c r="N325" s="123">
        <f t="shared" si="49"/>
        <v>53812.84</v>
      </c>
      <c r="O325" s="123">
        <f>SUM(O327:O329)</f>
        <v>0</v>
      </c>
      <c r="P325" s="123">
        <f>SUM(P327:P329)</f>
        <v>-475.34</v>
      </c>
      <c r="Q325" s="124">
        <f>SUM(Q327:Q329)</f>
        <v>-5753.64</v>
      </c>
      <c r="R325" s="123">
        <f>SUM(R327:R329)</f>
        <v>172</v>
      </c>
      <c r="S325" s="172">
        <f t="shared" si="68"/>
        <v>47755.86</v>
      </c>
      <c r="T325" s="122"/>
    </row>
    <row r="326" spans="1:20" ht="15.75" customHeight="1" x14ac:dyDescent="0.25">
      <c r="A326" s="57" t="s">
        <v>27</v>
      </c>
      <c r="B326" s="47"/>
      <c r="C326" s="16"/>
      <c r="D326" s="16"/>
      <c r="E326" s="82"/>
      <c r="F326" s="16"/>
      <c r="G326" s="16"/>
      <c r="H326" s="102"/>
      <c r="I326" s="102"/>
      <c r="J326" s="102"/>
      <c r="K326" s="144"/>
      <c r="L326" s="102"/>
      <c r="M326" s="103"/>
      <c r="N326" s="102"/>
      <c r="O326" s="102"/>
      <c r="P326" s="102"/>
      <c r="Q326" s="103"/>
      <c r="R326" s="102"/>
      <c r="S326" s="165"/>
    </row>
    <row r="327" spans="1:20" ht="16.5" customHeight="1" x14ac:dyDescent="0.25">
      <c r="A327" s="54" t="s">
        <v>213</v>
      </c>
      <c r="B327" s="49"/>
      <c r="C327" s="19">
        <v>13059.1</v>
      </c>
      <c r="D327" s="19">
        <f>7964.48-27.59+281.78+437.68</f>
        <v>8656.35</v>
      </c>
      <c r="E327" s="83">
        <v>610</v>
      </c>
      <c r="F327" s="19">
        <f t="shared" ref="F327:F329" si="71">SUM(C327:E327)</f>
        <v>22325.45</v>
      </c>
      <c r="G327" s="19">
        <f>45+1300+18.46</f>
        <v>1363.46</v>
      </c>
      <c r="H327" s="104">
        <f>SUM(F327:G327)+1013.3</f>
        <v>24702.21</v>
      </c>
      <c r="I327" s="104">
        <v>0</v>
      </c>
      <c r="J327" s="104">
        <f>132+1539+2472.5</f>
        <v>4143.5</v>
      </c>
      <c r="K327" s="144">
        <f>SUM(H327:J327)+84</f>
        <v>28929.71</v>
      </c>
      <c r="L327" s="104">
        <f>1610</f>
        <v>1610</v>
      </c>
      <c r="M327" s="103">
        <f>97</f>
        <v>97</v>
      </c>
      <c r="N327" s="102">
        <f t="shared" ref="N327:N390" si="72">SUM(K327:M327)</f>
        <v>30636.71</v>
      </c>
      <c r="O327" s="104">
        <v>0</v>
      </c>
      <c r="P327" s="104">
        <f>1005-1489+2.66</f>
        <v>-481.34</v>
      </c>
      <c r="Q327" s="105">
        <f>-4837.47</f>
        <v>-4837.47</v>
      </c>
      <c r="R327" s="104">
        <f>172</f>
        <v>172</v>
      </c>
      <c r="S327" s="173">
        <f>SUM(N327:R327)</f>
        <v>25489.899999999998</v>
      </c>
    </row>
    <row r="328" spans="1:20" ht="27.75" customHeight="1" x14ac:dyDescent="0.25">
      <c r="A328" s="17" t="s">
        <v>333</v>
      </c>
      <c r="B328" s="49"/>
      <c r="C328" s="104">
        <v>0</v>
      </c>
      <c r="D328" s="104"/>
      <c r="E328" s="105"/>
      <c r="F328" s="104"/>
      <c r="G328" s="104"/>
      <c r="H328" s="104">
        <v>0</v>
      </c>
      <c r="I328" s="104">
        <v>21000</v>
      </c>
      <c r="J328" s="104">
        <v>0</v>
      </c>
      <c r="K328" s="144">
        <f t="shared" si="54"/>
        <v>21000</v>
      </c>
      <c r="L328" s="104">
        <v>0</v>
      </c>
      <c r="M328" s="103">
        <v>0</v>
      </c>
      <c r="N328" s="102">
        <f t="shared" si="72"/>
        <v>21000</v>
      </c>
      <c r="O328" s="104">
        <v>0</v>
      </c>
      <c r="P328" s="104">
        <v>0</v>
      </c>
      <c r="Q328" s="105">
        <v>0</v>
      </c>
      <c r="R328" s="104">
        <v>0</v>
      </c>
      <c r="S328" s="173">
        <f>SUM(N328:R328)</f>
        <v>21000</v>
      </c>
    </row>
    <row r="329" spans="1:20" ht="24.75" customHeight="1" thickBot="1" x14ac:dyDescent="0.3">
      <c r="A329" s="20" t="s">
        <v>224</v>
      </c>
      <c r="B329" s="45"/>
      <c r="C329" s="22">
        <v>1678.2</v>
      </c>
      <c r="D329" s="22">
        <v>0</v>
      </c>
      <c r="E329" s="84">
        <v>224.93</v>
      </c>
      <c r="F329" s="22">
        <f t="shared" si="71"/>
        <v>1903.13</v>
      </c>
      <c r="G329" s="22">
        <v>0</v>
      </c>
      <c r="H329" s="106">
        <f t="shared" si="48"/>
        <v>1903.13</v>
      </c>
      <c r="I329" s="106">
        <v>0</v>
      </c>
      <c r="J329" s="106">
        <v>0</v>
      </c>
      <c r="K329" s="228">
        <f>SUM(H329:J329)+43</f>
        <v>1946.13</v>
      </c>
      <c r="L329" s="106">
        <f>230</f>
        <v>230</v>
      </c>
      <c r="M329" s="137">
        <v>0</v>
      </c>
      <c r="N329" s="108">
        <f t="shared" si="72"/>
        <v>2176.13</v>
      </c>
      <c r="O329" s="106">
        <v>0</v>
      </c>
      <c r="P329" s="106">
        <f>6</f>
        <v>6</v>
      </c>
      <c r="Q329" s="107">
        <f>-916.17</f>
        <v>-916.17</v>
      </c>
      <c r="R329" s="106">
        <v>0</v>
      </c>
      <c r="S329" s="182">
        <f>SUM(N329:R329)</f>
        <v>1265.96</v>
      </c>
    </row>
    <row r="330" spans="1:20" ht="16.5" customHeight="1" thickBot="1" x14ac:dyDescent="0.3">
      <c r="A330" s="69" t="s">
        <v>43</v>
      </c>
      <c r="B330" s="46"/>
      <c r="C330" s="70">
        <f t="shared" ref="C330" si="73">SUM(C332:C333)</f>
        <v>0</v>
      </c>
      <c r="D330" s="70">
        <f t="shared" ref="D330:J330" si="74">SUM(D332:D333)</f>
        <v>0</v>
      </c>
      <c r="E330" s="88">
        <f t="shared" si="74"/>
        <v>0</v>
      </c>
      <c r="F330" s="42">
        <f t="shared" si="74"/>
        <v>0</v>
      </c>
      <c r="G330" s="42">
        <f t="shared" si="74"/>
        <v>0</v>
      </c>
      <c r="H330" s="42">
        <f t="shared" si="74"/>
        <v>0</v>
      </c>
      <c r="I330" s="42">
        <f t="shared" si="74"/>
        <v>0</v>
      </c>
      <c r="J330" s="42">
        <f t="shared" si="74"/>
        <v>0</v>
      </c>
      <c r="K330" s="150">
        <f t="shared" si="54"/>
        <v>0</v>
      </c>
      <c r="L330" s="123">
        <f>SUM(L332:L333)</f>
        <v>0</v>
      </c>
      <c r="M330" s="124">
        <f>SUM(M332:M333)</f>
        <v>0</v>
      </c>
      <c r="N330" s="123">
        <f t="shared" si="72"/>
        <v>0</v>
      </c>
      <c r="O330" s="123">
        <f>SUM(O332:O333)</f>
        <v>0</v>
      </c>
      <c r="P330" s="123">
        <f>SUM(P332:P333)</f>
        <v>0</v>
      </c>
      <c r="Q330" s="124">
        <f>SUM(Q332:Q333)</f>
        <v>0</v>
      </c>
      <c r="R330" s="123">
        <f>SUM(R332:R333)</f>
        <v>0</v>
      </c>
      <c r="S330" s="172">
        <f>SUM(N330:R330)</f>
        <v>0</v>
      </c>
      <c r="T330" s="122"/>
    </row>
    <row r="331" spans="1:20" ht="15" customHeight="1" x14ac:dyDescent="0.25">
      <c r="A331" s="57" t="s">
        <v>27</v>
      </c>
      <c r="B331" s="47"/>
      <c r="C331" s="16"/>
      <c r="D331" s="16"/>
      <c r="E331" s="82"/>
      <c r="F331" s="16"/>
      <c r="G331" s="16"/>
      <c r="H331" s="102"/>
      <c r="I331" s="102"/>
      <c r="J331" s="102"/>
      <c r="K331" s="144"/>
      <c r="L331" s="102"/>
      <c r="M331" s="103"/>
      <c r="N331" s="102"/>
      <c r="O331" s="102"/>
      <c r="P331" s="102"/>
      <c r="Q331" s="103"/>
      <c r="R331" s="102"/>
      <c r="S331" s="165"/>
    </row>
    <row r="332" spans="1:20" ht="17.25" customHeight="1" x14ac:dyDescent="0.25">
      <c r="A332" s="54" t="s">
        <v>213</v>
      </c>
      <c r="B332" s="49"/>
      <c r="C332" s="19">
        <v>0</v>
      </c>
      <c r="D332" s="19">
        <v>0</v>
      </c>
      <c r="E332" s="83">
        <v>0</v>
      </c>
      <c r="F332" s="19">
        <f>SUM(C332:E332)</f>
        <v>0</v>
      </c>
      <c r="G332" s="19">
        <v>0</v>
      </c>
      <c r="H332" s="104">
        <f t="shared" si="48"/>
        <v>0</v>
      </c>
      <c r="I332" s="104">
        <v>0</v>
      </c>
      <c r="J332" s="104">
        <v>0</v>
      </c>
      <c r="K332" s="144">
        <f t="shared" si="54"/>
        <v>0</v>
      </c>
      <c r="L332" s="104">
        <v>0</v>
      </c>
      <c r="M332" s="103">
        <v>0</v>
      </c>
      <c r="N332" s="102">
        <f t="shared" si="72"/>
        <v>0</v>
      </c>
      <c r="O332" s="104">
        <v>0</v>
      </c>
      <c r="P332" s="104">
        <v>0</v>
      </c>
      <c r="Q332" s="105">
        <v>0</v>
      </c>
      <c r="R332" s="104">
        <v>0</v>
      </c>
      <c r="S332" s="173">
        <f>SUM(N332:R332)</f>
        <v>0</v>
      </c>
    </row>
    <row r="333" spans="1:20" ht="17.25" customHeight="1" thickBot="1" x14ac:dyDescent="0.3">
      <c r="A333" s="55" t="s">
        <v>225</v>
      </c>
      <c r="B333" s="45"/>
      <c r="C333" s="22">
        <v>0</v>
      </c>
      <c r="D333" s="22">
        <v>0</v>
      </c>
      <c r="E333" s="84">
        <v>0</v>
      </c>
      <c r="F333" s="22">
        <f>SUM(C333:E333)</f>
        <v>0</v>
      </c>
      <c r="G333" s="22">
        <v>0</v>
      </c>
      <c r="H333" s="106">
        <f t="shared" ref="H333:H399" si="75">SUM(F333:G333)</f>
        <v>0</v>
      </c>
      <c r="I333" s="106">
        <v>0</v>
      </c>
      <c r="J333" s="106">
        <v>0</v>
      </c>
      <c r="K333" s="113">
        <f t="shared" si="54"/>
        <v>0</v>
      </c>
      <c r="L333" s="106">
        <v>0</v>
      </c>
      <c r="M333" s="107">
        <v>0</v>
      </c>
      <c r="N333" s="106">
        <f t="shared" si="72"/>
        <v>0</v>
      </c>
      <c r="O333" s="106">
        <v>0</v>
      </c>
      <c r="P333" s="106">
        <v>0</v>
      </c>
      <c r="Q333" s="107">
        <v>0</v>
      </c>
      <c r="R333" s="106">
        <v>0</v>
      </c>
      <c r="S333" s="182">
        <f>SUM(N333:R333)</f>
        <v>0</v>
      </c>
    </row>
    <row r="334" spans="1:20" ht="15.75" customHeight="1" thickBot="1" x14ac:dyDescent="0.3">
      <c r="A334" s="56" t="s">
        <v>47</v>
      </c>
      <c r="B334" s="50"/>
      <c r="C334" s="42">
        <f t="shared" ref="C334:J334" si="76">SUM(C336:C354)</f>
        <v>2850</v>
      </c>
      <c r="D334" s="42">
        <f t="shared" si="76"/>
        <v>270</v>
      </c>
      <c r="E334" s="88">
        <f t="shared" si="76"/>
        <v>5845.42</v>
      </c>
      <c r="F334" s="42">
        <f t="shared" si="76"/>
        <v>8965.42</v>
      </c>
      <c r="G334" s="42">
        <f t="shared" si="76"/>
        <v>0</v>
      </c>
      <c r="H334" s="42">
        <f t="shared" si="76"/>
        <v>8605.42</v>
      </c>
      <c r="I334" s="42">
        <f t="shared" si="76"/>
        <v>-570</v>
      </c>
      <c r="J334" s="42">
        <f t="shared" si="76"/>
        <v>9644.5</v>
      </c>
      <c r="K334" s="150">
        <f t="shared" si="54"/>
        <v>17679.919999999998</v>
      </c>
      <c r="L334" s="123">
        <f>SUM(L336:L354)</f>
        <v>-140</v>
      </c>
      <c r="M334" s="124">
        <f>SUM(M336:M354)</f>
        <v>900</v>
      </c>
      <c r="N334" s="123">
        <f t="shared" si="72"/>
        <v>18439.919999999998</v>
      </c>
      <c r="O334" s="123">
        <f>SUM(O336:O354)</f>
        <v>0</v>
      </c>
      <c r="P334" s="123">
        <f>SUM(P336:P354)</f>
        <v>125</v>
      </c>
      <c r="Q334" s="124">
        <f>SUM(Q336:Q354)</f>
        <v>-1315</v>
      </c>
      <c r="R334" s="123">
        <f>SUM(R336:R354)</f>
        <v>0</v>
      </c>
      <c r="S334" s="172">
        <f>SUM(N334:R334)</f>
        <v>17249.919999999998</v>
      </c>
      <c r="T334" s="122"/>
    </row>
    <row r="335" spans="1:20" ht="15.75" customHeight="1" x14ac:dyDescent="0.25">
      <c r="A335" s="57" t="s">
        <v>27</v>
      </c>
      <c r="B335" s="47"/>
      <c r="C335" s="16"/>
      <c r="D335" s="16"/>
      <c r="E335" s="82"/>
      <c r="F335" s="16"/>
      <c r="G335" s="16"/>
      <c r="H335" s="102"/>
      <c r="I335" s="102"/>
      <c r="J335" s="102"/>
      <c r="K335" s="144"/>
      <c r="L335" s="102"/>
      <c r="M335" s="103"/>
      <c r="N335" s="102"/>
      <c r="O335" s="102"/>
      <c r="P335" s="102"/>
      <c r="Q335" s="103"/>
      <c r="R335" s="102"/>
      <c r="S335" s="165"/>
    </row>
    <row r="336" spans="1:20" ht="16.5" customHeight="1" x14ac:dyDescent="0.25">
      <c r="A336" s="54" t="s">
        <v>213</v>
      </c>
      <c r="B336" s="49"/>
      <c r="C336" s="104">
        <v>2850</v>
      </c>
      <c r="D336" s="104">
        <f>130+140</f>
        <v>270</v>
      </c>
      <c r="E336" s="105">
        <v>1965</v>
      </c>
      <c r="F336" s="104">
        <f>SUM(C336:E336)</f>
        <v>5085</v>
      </c>
      <c r="G336" s="104">
        <v>0</v>
      </c>
      <c r="H336" s="104">
        <f>SUM(F336:G336)-360</f>
        <v>4725</v>
      </c>
      <c r="I336" s="104">
        <v>-1400</v>
      </c>
      <c r="J336" s="104">
        <f>9100+279.5+220</f>
        <v>9599.5</v>
      </c>
      <c r="K336" s="144">
        <f t="shared" si="54"/>
        <v>12924.5</v>
      </c>
      <c r="L336" s="104">
        <v>0</v>
      </c>
      <c r="M336" s="103">
        <f>1600</f>
        <v>1600</v>
      </c>
      <c r="N336" s="102">
        <f t="shared" si="72"/>
        <v>14524.5</v>
      </c>
      <c r="O336" s="104">
        <v>0</v>
      </c>
      <c r="P336" s="104">
        <f>125</f>
        <v>125</v>
      </c>
      <c r="Q336" s="105">
        <f>-1315</f>
        <v>-1315</v>
      </c>
      <c r="R336" s="104">
        <v>0</v>
      </c>
      <c r="S336" s="173">
        <f t="shared" ref="S336:S355" si="77">SUM(N336:R336)</f>
        <v>13334.5</v>
      </c>
    </row>
    <row r="337" spans="1:19" ht="27.75" customHeight="1" x14ac:dyDescent="0.25">
      <c r="A337" s="17" t="s">
        <v>274</v>
      </c>
      <c r="B337" s="49" t="s">
        <v>36</v>
      </c>
      <c r="C337" s="104">
        <v>0</v>
      </c>
      <c r="D337" s="114">
        <v>0</v>
      </c>
      <c r="E337" s="115">
        <v>240</v>
      </c>
      <c r="F337" s="104">
        <f t="shared" ref="F337:F352" si="78">SUM(C337:E337)</f>
        <v>240</v>
      </c>
      <c r="G337" s="104">
        <v>0</v>
      </c>
      <c r="H337" s="104">
        <f t="shared" si="75"/>
        <v>240</v>
      </c>
      <c r="I337" s="104">
        <v>0</v>
      </c>
      <c r="J337" s="104">
        <v>0</v>
      </c>
      <c r="K337" s="144">
        <f t="shared" si="54"/>
        <v>240</v>
      </c>
      <c r="L337" s="104">
        <v>0</v>
      </c>
      <c r="M337" s="103">
        <v>0</v>
      </c>
      <c r="N337" s="102">
        <f t="shared" si="72"/>
        <v>240</v>
      </c>
      <c r="O337" s="104">
        <v>0</v>
      </c>
      <c r="P337" s="104">
        <v>0</v>
      </c>
      <c r="Q337" s="105">
        <v>0</v>
      </c>
      <c r="R337" s="104">
        <v>0</v>
      </c>
      <c r="S337" s="173">
        <f t="shared" si="77"/>
        <v>240</v>
      </c>
    </row>
    <row r="338" spans="1:19" ht="38.25" customHeight="1" x14ac:dyDescent="0.25">
      <c r="A338" s="17" t="s">
        <v>275</v>
      </c>
      <c r="B338" s="49" t="s">
        <v>36</v>
      </c>
      <c r="C338" s="104">
        <v>0</v>
      </c>
      <c r="D338" s="114">
        <v>0</v>
      </c>
      <c r="E338" s="115">
        <v>750</v>
      </c>
      <c r="F338" s="104">
        <f t="shared" si="78"/>
        <v>750</v>
      </c>
      <c r="G338" s="104">
        <v>0</v>
      </c>
      <c r="H338" s="104">
        <f t="shared" si="75"/>
        <v>750</v>
      </c>
      <c r="I338" s="104">
        <v>0</v>
      </c>
      <c r="J338" s="104">
        <v>0</v>
      </c>
      <c r="K338" s="144">
        <f t="shared" si="54"/>
        <v>750</v>
      </c>
      <c r="L338" s="104">
        <v>0</v>
      </c>
      <c r="M338" s="103">
        <v>0</v>
      </c>
      <c r="N338" s="102">
        <f t="shared" si="72"/>
        <v>750</v>
      </c>
      <c r="O338" s="104">
        <v>0</v>
      </c>
      <c r="P338" s="104">
        <v>0</v>
      </c>
      <c r="Q338" s="105">
        <v>0</v>
      </c>
      <c r="R338" s="104">
        <v>0</v>
      </c>
      <c r="S338" s="173">
        <f t="shared" si="77"/>
        <v>750</v>
      </c>
    </row>
    <row r="339" spans="1:19" ht="28.5" customHeight="1" x14ac:dyDescent="0.25">
      <c r="A339" s="17" t="s">
        <v>276</v>
      </c>
      <c r="B339" s="49" t="s">
        <v>36</v>
      </c>
      <c r="C339" s="104">
        <v>0</v>
      </c>
      <c r="D339" s="114">
        <v>0</v>
      </c>
      <c r="E339" s="115">
        <v>60</v>
      </c>
      <c r="F339" s="104">
        <f t="shared" si="78"/>
        <v>60</v>
      </c>
      <c r="G339" s="104">
        <v>0</v>
      </c>
      <c r="H339" s="104">
        <f t="shared" si="75"/>
        <v>60</v>
      </c>
      <c r="I339" s="104">
        <v>0</v>
      </c>
      <c r="J339" s="104">
        <v>0</v>
      </c>
      <c r="K339" s="144">
        <f t="shared" si="54"/>
        <v>60</v>
      </c>
      <c r="L339" s="104">
        <f>-60</f>
        <v>-60</v>
      </c>
      <c r="M339" s="103">
        <v>0</v>
      </c>
      <c r="N339" s="102">
        <f t="shared" si="72"/>
        <v>0</v>
      </c>
      <c r="O339" s="104">
        <v>0</v>
      </c>
      <c r="P339" s="104">
        <v>0</v>
      </c>
      <c r="Q339" s="105">
        <v>0</v>
      </c>
      <c r="R339" s="104">
        <v>0</v>
      </c>
      <c r="S339" s="173">
        <f t="shared" si="77"/>
        <v>0</v>
      </c>
    </row>
    <row r="340" spans="1:19" ht="25.5" customHeight="1" x14ac:dyDescent="0.25">
      <c r="A340" s="17" t="s">
        <v>335</v>
      </c>
      <c r="B340" s="49" t="s">
        <v>36</v>
      </c>
      <c r="C340" s="104">
        <v>0</v>
      </c>
      <c r="D340" s="114"/>
      <c r="E340" s="115"/>
      <c r="F340" s="104"/>
      <c r="G340" s="104"/>
      <c r="H340" s="104">
        <v>0</v>
      </c>
      <c r="I340" s="104">
        <v>80</v>
      </c>
      <c r="J340" s="104">
        <v>0</v>
      </c>
      <c r="K340" s="144">
        <f t="shared" si="54"/>
        <v>80</v>
      </c>
      <c r="L340" s="104">
        <f>-80</f>
        <v>-80</v>
      </c>
      <c r="M340" s="103">
        <v>0</v>
      </c>
      <c r="N340" s="102">
        <f t="shared" si="72"/>
        <v>0</v>
      </c>
      <c r="O340" s="104">
        <v>0</v>
      </c>
      <c r="P340" s="104">
        <v>0</v>
      </c>
      <c r="Q340" s="105">
        <v>0</v>
      </c>
      <c r="R340" s="104">
        <v>0</v>
      </c>
      <c r="S340" s="173">
        <f t="shared" si="77"/>
        <v>0</v>
      </c>
    </row>
    <row r="341" spans="1:19" ht="39.75" customHeight="1" x14ac:dyDescent="0.25">
      <c r="A341" s="17" t="s">
        <v>277</v>
      </c>
      <c r="B341" s="49" t="s">
        <v>271</v>
      </c>
      <c r="C341" s="104">
        <v>0</v>
      </c>
      <c r="D341" s="114">
        <v>0</v>
      </c>
      <c r="E341" s="115">
        <v>68.84</v>
      </c>
      <c r="F341" s="104">
        <f t="shared" si="78"/>
        <v>68.84</v>
      </c>
      <c r="G341" s="104">
        <v>0</v>
      </c>
      <c r="H341" s="104">
        <f t="shared" si="75"/>
        <v>68.84</v>
      </c>
      <c r="I341" s="104">
        <v>0</v>
      </c>
      <c r="J341" s="104">
        <v>0</v>
      </c>
      <c r="K341" s="144">
        <f t="shared" si="54"/>
        <v>68.84</v>
      </c>
      <c r="L341" s="104">
        <v>0</v>
      </c>
      <c r="M341" s="103">
        <v>0</v>
      </c>
      <c r="N341" s="102">
        <f t="shared" si="72"/>
        <v>68.84</v>
      </c>
      <c r="O341" s="104">
        <v>0</v>
      </c>
      <c r="P341" s="104">
        <v>0</v>
      </c>
      <c r="Q341" s="105">
        <v>0</v>
      </c>
      <c r="R341" s="104">
        <v>0</v>
      </c>
      <c r="S341" s="173">
        <f t="shared" si="77"/>
        <v>68.84</v>
      </c>
    </row>
    <row r="342" spans="1:19" ht="36.75" customHeight="1" x14ac:dyDescent="0.25">
      <c r="A342" s="17" t="s">
        <v>278</v>
      </c>
      <c r="B342" s="49" t="s">
        <v>271</v>
      </c>
      <c r="C342" s="104">
        <v>0</v>
      </c>
      <c r="D342" s="114">
        <v>0</v>
      </c>
      <c r="E342" s="115">
        <v>11.58</v>
      </c>
      <c r="F342" s="104">
        <f t="shared" si="78"/>
        <v>11.58</v>
      </c>
      <c r="G342" s="104">
        <v>0</v>
      </c>
      <c r="H342" s="104">
        <f t="shared" si="75"/>
        <v>11.58</v>
      </c>
      <c r="I342" s="104">
        <v>0</v>
      </c>
      <c r="J342" s="104">
        <v>0</v>
      </c>
      <c r="K342" s="144">
        <f t="shared" si="54"/>
        <v>11.58</v>
      </c>
      <c r="L342" s="104">
        <v>0</v>
      </c>
      <c r="M342" s="103">
        <v>0</v>
      </c>
      <c r="N342" s="102">
        <f t="shared" si="72"/>
        <v>11.58</v>
      </c>
      <c r="O342" s="104">
        <v>0</v>
      </c>
      <c r="P342" s="104">
        <v>0</v>
      </c>
      <c r="Q342" s="105">
        <v>0</v>
      </c>
      <c r="R342" s="104">
        <v>0</v>
      </c>
      <c r="S342" s="173">
        <f t="shared" si="77"/>
        <v>11.58</v>
      </c>
    </row>
    <row r="343" spans="1:19" ht="24" customHeight="1" x14ac:dyDescent="0.25">
      <c r="A343" s="17" t="s">
        <v>279</v>
      </c>
      <c r="B343" s="49" t="s">
        <v>36</v>
      </c>
      <c r="C343" s="104">
        <v>0</v>
      </c>
      <c r="D343" s="114">
        <v>0</v>
      </c>
      <c r="E343" s="115">
        <v>140</v>
      </c>
      <c r="F343" s="104">
        <f t="shared" si="78"/>
        <v>140</v>
      </c>
      <c r="G343" s="104">
        <v>0</v>
      </c>
      <c r="H343" s="104">
        <f t="shared" si="75"/>
        <v>140</v>
      </c>
      <c r="I343" s="104">
        <v>0</v>
      </c>
      <c r="J343" s="104">
        <v>0</v>
      </c>
      <c r="K343" s="144">
        <f t="shared" si="54"/>
        <v>140</v>
      </c>
      <c r="L343" s="104">
        <v>0</v>
      </c>
      <c r="M343" s="103">
        <v>0</v>
      </c>
      <c r="N343" s="102">
        <f t="shared" si="72"/>
        <v>140</v>
      </c>
      <c r="O343" s="104">
        <v>0</v>
      </c>
      <c r="P343" s="104">
        <v>0</v>
      </c>
      <c r="Q343" s="105">
        <v>0</v>
      </c>
      <c r="R343" s="104">
        <v>0</v>
      </c>
      <c r="S343" s="173">
        <f t="shared" si="77"/>
        <v>140</v>
      </c>
    </row>
    <row r="344" spans="1:19" ht="25.5" customHeight="1" x14ac:dyDescent="0.25">
      <c r="A344" s="17" t="s">
        <v>280</v>
      </c>
      <c r="B344" s="49" t="s">
        <v>36</v>
      </c>
      <c r="C344" s="104">
        <v>0</v>
      </c>
      <c r="D344" s="114">
        <v>0</v>
      </c>
      <c r="E344" s="115">
        <v>300</v>
      </c>
      <c r="F344" s="104">
        <f t="shared" si="78"/>
        <v>300</v>
      </c>
      <c r="G344" s="104">
        <v>0</v>
      </c>
      <c r="H344" s="104">
        <f t="shared" si="75"/>
        <v>300</v>
      </c>
      <c r="I344" s="104">
        <v>0</v>
      </c>
      <c r="J344" s="104">
        <v>0</v>
      </c>
      <c r="K344" s="144">
        <f t="shared" si="54"/>
        <v>300</v>
      </c>
      <c r="L344" s="104">
        <v>0</v>
      </c>
      <c r="M344" s="103">
        <v>0</v>
      </c>
      <c r="N344" s="102">
        <f t="shared" si="72"/>
        <v>300</v>
      </c>
      <c r="O344" s="104">
        <v>0</v>
      </c>
      <c r="P344" s="104">
        <v>0</v>
      </c>
      <c r="Q344" s="105">
        <v>0</v>
      </c>
      <c r="R344" s="104">
        <v>0</v>
      </c>
      <c r="S344" s="173">
        <f t="shared" si="77"/>
        <v>300</v>
      </c>
    </row>
    <row r="345" spans="1:19" ht="26.25" customHeight="1" x14ac:dyDescent="0.25">
      <c r="A345" s="17" t="s">
        <v>334</v>
      </c>
      <c r="B345" s="49" t="s">
        <v>36</v>
      </c>
      <c r="C345" s="104">
        <v>0</v>
      </c>
      <c r="D345" s="114"/>
      <c r="E345" s="115"/>
      <c r="F345" s="104"/>
      <c r="G345" s="104"/>
      <c r="H345" s="104">
        <v>0</v>
      </c>
      <c r="I345" s="104">
        <v>200</v>
      </c>
      <c r="J345" s="104">
        <v>0</v>
      </c>
      <c r="K345" s="144">
        <f t="shared" si="54"/>
        <v>200</v>
      </c>
      <c r="L345" s="104">
        <v>0</v>
      </c>
      <c r="M345" s="103">
        <v>0</v>
      </c>
      <c r="N345" s="102">
        <f t="shared" si="72"/>
        <v>200</v>
      </c>
      <c r="O345" s="104">
        <v>0</v>
      </c>
      <c r="P345" s="104">
        <v>0</v>
      </c>
      <c r="Q345" s="105">
        <v>0</v>
      </c>
      <c r="R345" s="104">
        <v>0</v>
      </c>
      <c r="S345" s="173">
        <f t="shared" si="77"/>
        <v>200</v>
      </c>
    </row>
    <row r="346" spans="1:19" ht="24.75" customHeight="1" x14ac:dyDescent="0.25">
      <c r="A346" s="17" t="s">
        <v>336</v>
      </c>
      <c r="B346" s="49" t="s">
        <v>36</v>
      </c>
      <c r="C346" s="104">
        <v>0</v>
      </c>
      <c r="D346" s="114"/>
      <c r="E346" s="115"/>
      <c r="F346" s="104"/>
      <c r="G346" s="104"/>
      <c r="H346" s="104">
        <v>0</v>
      </c>
      <c r="I346" s="104">
        <v>300</v>
      </c>
      <c r="J346" s="104">
        <v>0</v>
      </c>
      <c r="K346" s="144">
        <f t="shared" si="54"/>
        <v>300</v>
      </c>
      <c r="L346" s="104">
        <v>0</v>
      </c>
      <c r="M346" s="103">
        <v>0</v>
      </c>
      <c r="N346" s="102">
        <f t="shared" si="72"/>
        <v>300</v>
      </c>
      <c r="O346" s="104">
        <v>0</v>
      </c>
      <c r="P346" s="104">
        <v>0</v>
      </c>
      <c r="Q346" s="105">
        <v>0</v>
      </c>
      <c r="R346" s="104">
        <v>0</v>
      </c>
      <c r="S346" s="173">
        <f t="shared" si="77"/>
        <v>300</v>
      </c>
    </row>
    <row r="347" spans="1:19" ht="28.5" customHeight="1" x14ac:dyDescent="0.25">
      <c r="A347" s="17" t="s">
        <v>281</v>
      </c>
      <c r="B347" s="49" t="s">
        <v>36</v>
      </c>
      <c r="C347" s="104">
        <v>0</v>
      </c>
      <c r="D347" s="114">
        <v>0</v>
      </c>
      <c r="E347" s="115">
        <v>260</v>
      </c>
      <c r="F347" s="104">
        <f t="shared" si="78"/>
        <v>260</v>
      </c>
      <c r="G347" s="104">
        <v>0</v>
      </c>
      <c r="H347" s="104">
        <f t="shared" si="75"/>
        <v>260</v>
      </c>
      <c r="I347" s="104">
        <v>0</v>
      </c>
      <c r="J347" s="104">
        <v>0</v>
      </c>
      <c r="K347" s="144">
        <f t="shared" si="54"/>
        <v>260</v>
      </c>
      <c r="L347" s="104">
        <v>0</v>
      </c>
      <c r="M347" s="103">
        <v>0</v>
      </c>
      <c r="N347" s="102">
        <f t="shared" si="72"/>
        <v>260</v>
      </c>
      <c r="O347" s="104">
        <v>0</v>
      </c>
      <c r="P347" s="104">
        <v>0</v>
      </c>
      <c r="Q347" s="105">
        <v>0</v>
      </c>
      <c r="R347" s="104">
        <v>0</v>
      </c>
      <c r="S347" s="173">
        <f t="shared" si="77"/>
        <v>260</v>
      </c>
    </row>
    <row r="348" spans="1:19" ht="26.25" customHeight="1" x14ac:dyDescent="0.25">
      <c r="A348" s="17" t="s">
        <v>282</v>
      </c>
      <c r="B348" s="49" t="s">
        <v>36</v>
      </c>
      <c r="C348" s="104">
        <v>0</v>
      </c>
      <c r="D348" s="104">
        <v>0</v>
      </c>
      <c r="E348" s="104">
        <v>250</v>
      </c>
      <c r="F348" s="104">
        <f t="shared" si="78"/>
        <v>250</v>
      </c>
      <c r="G348" s="104">
        <v>0</v>
      </c>
      <c r="H348" s="104">
        <f t="shared" si="75"/>
        <v>250</v>
      </c>
      <c r="I348" s="104">
        <v>250</v>
      </c>
      <c r="J348" s="104">
        <v>0</v>
      </c>
      <c r="K348" s="144">
        <f t="shared" ref="K348:K411" si="79">SUM(H348:J348)</f>
        <v>500</v>
      </c>
      <c r="L348" s="104">
        <v>0</v>
      </c>
      <c r="M348" s="103">
        <v>0</v>
      </c>
      <c r="N348" s="102">
        <f t="shared" si="72"/>
        <v>500</v>
      </c>
      <c r="O348" s="104">
        <v>0</v>
      </c>
      <c r="P348" s="104">
        <v>0</v>
      </c>
      <c r="Q348" s="105">
        <v>0</v>
      </c>
      <c r="R348" s="104">
        <v>0</v>
      </c>
      <c r="S348" s="173">
        <f t="shared" si="77"/>
        <v>500</v>
      </c>
    </row>
    <row r="349" spans="1:19" ht="23.25" customHeight="1" x14ac:dyDescent="0.25">
      <c r="A349" s="20" t="s">
        <v>283</v>
      </c>
      <c r="B349" s="45" t="s">
        <v>36</v>
      </c>
      <c r="C349" s="106">
        <v>0</v>
      </c>
      <c r="D349" s="112">
        <v>0</v>
      </c>
      <c r="E349" s="113">
        <v>100</v>
      </c>
      <c r="F349" s="104">
        <f t="shared" si="78"/>
        <v>100</v>
      </c>
      <c r="G349" s="104">
        <v>0</v>
      </c>
      <c r="H349" s="104">
        <f t="shared" si="75"/>
        <v>100</v>
      </c>
      <c r="I349" s="104">
        <v>0</v>
      </c>
      <c r="J349" s="104">
        <v>0</v>
      </c>
      <c r="K349" s="144">
        <f t="shared" si="79"/>
        <v>100</v>
      </c>
      <c r="L349" s="104">
        <v>0</v>
      </c>
      <c r="M349" s="103">
        <v>0</v>
      </c>
      <c r="N349" s="102">
        <f t="shared" si="72"/>
        <v>100</v>
      </c>
      <c r="O349" s="104">
        <v>0</v>
      </c>
      <c r="P349" s="104">
        <v>0</v>
      </c>
      <c r="Q349" s="105">
        <v>0</v>
      </c>
      <c r="R349" s="104">
        <v>0</v>
      </c>
      <c r="S349" s="173">
        <f t="shared" si="77"/>
        <v>100</v>
      </c>
    </row>
    <row r="350" spans="1:19" ht="24.75" customHeight="1" x14ac:dyDescent="0.25">
      <c r="A350" s="17" t="s">
        <v>284</v>
      </c>
      <c r="B350" s="49" t="s">
        <v>36</v>
      </c>
      <c r="C350" s="104">
        <v>0</v>
      </c>
      <c r="D350" s="114">
        <v>0</v>
      </c>
      <c r="E350" s="115">
        <v>300</v>
      </c>
      <c r="F350" s="104">
        <f t="shared" si="78"/>
        <v>300</v>
      </c>
      <c r="G350" s="104">
        <v>0</v>
      </c>
      <c r="H350" s="104">
        <f t="shared" si="75"/>
        <v>300</v>
      </c>
      <c r="I350" s="104">
        <v>0</v>
      </c>
      <c r="J350" s="104">
        <v>0</v>
      </c>
      <c r="K350" s="115">
        <f t="shared" si="79"/>
        <v>300</v>
      </c>
      <c r="L350" s="104">
        <v>0</v>
      </c>
      <c r="M350" s="105">
        <v>0</v>
      </c>
      <c r="N350" s="104">
        <f t="shared" si="72"/>
        <v>300</v>
      </c>
      <c r="O350" s="104">
        <v>0</v>
      </c>
      <c r="P350" s="104">
        <v>0</v>
      </c>
      <c r="Q350" s="105">
        <v>0</v>
      </c>
      <c r="R350" s="104">
        <v>0</v>
      </c>
      <c r="S350" s="173">
        <f t="shared" si="77"/>
        <v>300</v>
      </c>
    </row>
    <row r="351" spans="1:19" ht="26.25" customHeight="1" x14ac:dyDescent="0.25">
      <c r="A351" s="20" t="s">
        <v>285</v>
      </c>
      <c r="B351" s="45" t="s">
        <v>36</v>
      </c>
      <c r="C351" s="106">
        <v>0</v>
      </c>
      <c r="D351" s="112">
        <v>0</v>
      </c>
      <c r="E351" s="113">
        <v>300</v>
      </c>
      <c r="F351" s="104">
        <f t="shared" si="78"/>
        <v>300</v>
      </c>
      <c r="G351" s="104">
        <v>0</v>
      </c>
      <c r="H351" s="104">
        <f t="shared" si="75"/>
        <v>300</v>
      </c>
      <c r="I351" s="104">
        <v>0</v>
      </c>
      <c r="J351" s="104">
        <v>0</v>
      </c>
      <c r="K351" s="144">
        <f t="shared" si="79"/>
        <v>300</v>
      </c>
      <c r="L351" s="104">
        <v>0</v>
      </c>
      <c r="M351" s="103">
        <v>0</v>
      </c>
      <c r="N351" s="102">
        <f t="shared" si="72"/>
        <v>300</v>
      </c>
      <c r="O351" s="104">
        <v>0</v>
      </c>
      <c r="P351" s="104">
        <v>0</v>
      </c>
      <c r="Q351" s="105">
        <v>0</v>
      </c>
      <c r="R351" s="104">
        <v>0</v>
      </c>
      <c r="S351" s="173">
        <f t="shared" si="77"/>
        <v>300</v>
      </c>
    </row>
    <row r="352" spans="1:19" ht="29.25" customHeight="1" x14ac:dyDescent="0.25">
      <c r="A352" s="17" t="s">
        <v>286</v>
      </c>
      <c r="B352" s="49" t="s">
        <v>36</v>
      </c>
      <c r="C352" s="104">
        <v>0</v>
      </c>
      <c r="D352" s="114">
        <v>0</v>
      </c>
      <c r="E352" s="115">
        <v>100</v>
      </c>
      <c r="F352" s="104">
        <f t="shared" si="78"/>
        <v>100</v>
      </c>
      <c r="G352" s="104">
        <v>0</v>
      </c>
      <c r="H352" s="104">
        <f t="shared" si="75"/>
        <v>100</v>
      </c>
      <c r="I352" s="104">
        <v>0</v>
      </c>
      <c r="J352" s="104">
        <v>0</v>
      </c>
      <c r="K352" s="144">
        <f t="shared" si="79"/>
        <v>100</v>
      </c>
      <c r="L352" s="104">
        <v>0</v>
      </c>
      <c r="M352" s="103">
        <v>0</v>
      </c>
      <c r="N352" s="102">
        <f t="shared" si="72"/>
        <v>100</v>
      </c>
      <c r="O352" s="104">
        <v>0</v>
      </c>
      <c r="P352" s="104">
        <v>0</v>
      </c>
      <c r="Q352" s="105">
        <v>0</v>
      </c>
      <c r="R352" s="104">
        <v>0</v>
      </c>
      <c r="S352" s="173">
        <f t="shared" si="77"/>
        <v>100</v>
      </c>
    </row>
    <row r="353" spans="1:20" ht="49.5" customHeight="1" x14ac:dyDescent="0.25">
      <c r="A353" s="20" t="s">
        <v>349</v>
      </c>
      <c r="B353" s="49" t="s">
        <v>36</v>
      </c>
      <c r="C353" s="104">
        <v>0</v>
      </c>
      <c r="D353" s="114"/>
      <c r="E353" s="115"/>
      <c r="F353" s="104"/>
      <c r="G353" s="104"/>
      <c r="H353" s="104">
        <v>0</v>
      </c>
      <c r="I353" s="104">
        <v>0</v>
      </c>
      <c r="J353" s="104">
        <f>45</f>
        <v>45</v>
      </c>
      <c r="K353" s="115">
        <f>SUM(H353:J353)</f>
        <v>45</v>
      </c>
      <c r="L353" s="104">
        <v>0</v>
      </c>
      <c r="M353" s="103">
        <v>0</v>
      </c>
      <c r="N353" s="102">
        <f t="shared" si="72"/>
        <v>45</v>
      </c>
      <c r="O353" s="104">
        <v>0</v>
      </c>
      <c r="P353" s="104">
        <v>0</v>
      </c>
      <c r="Q353" s="105">
        <v>0</v>
      </c>
      <c r="R353" s="104">
        <v>0</v>
      </c>
      <c r="S353" s="173">
        <f t="shared" si="77"/>
        <v>45</v>
      </c>
    </row>
    <row r="354" spans="1:20" ht="16.5" customHeight="1" thickBot="1" x14ac:dyDescent="0.3">
      <c r="A354" s="55" t="s">
        <v>226</v>
      </c>
      <c r="B354" s="93"/>
      <c r="C354" s="108">
        <v>0</v>
      </c>
      <c r="D354" s="141">
        <v>0</v>
      </c>
      <c r="E354" s="228">
        <v>1000</v>
      </c>
      <c r="F354" s="108">
        <f>SUM(C354:E354)</f>
        <v>1000</v>
      </c>
      <c r="G354" s="108">
        <v>0</v>
      </c>
      <c r="H354" s="108">
        <f t="shared" si="75"/>
        <v>1000</v>
      </c>
      <c r="I354" s="108">
        <v>0</v>
      </c>
      <c r="J354" s="108">
        <v>0</v>
      </c>
      <c r="K354" s="228">
        <f>SUM(H354:J354)</f>
        <v>1000</v>
      </c>
      <c r="L354" s="106">
        <v>0</v>
      </c>
      <c r="M354" s="137">
        <f>-700</f>
        <v>-700</v>
      </c>
      <c r="N354" s="108">
        <f t="shared" si="72"/>
        <v>300</v>
      </c>
      <c r="O354" s="106">
        <v>0</v>
      </c>
      <c r="P354" s="106">
        <v>0</v>
      </c>
      <c r="Q354" s="107">
        <v>0</v>
      </c>
      <c r="R354" s="106">
        <v>0</v>
      </c>
      <c r="S354" s="182">
        <f t="shared" si="77"/>
        <v>300</v>
      </c>
    </row>
    <row r="355" spans="1:20" ht="16.350000000000001" customHeight="1" thickBot="1" x14ac:dyDescent="0.3">
      <c r="A355" s="56" t="s">
        <v>123</v>
      </c>
      <c r="B355" s="50"/>
      <c r="C355" s="72">
        <f t="shared" ref="C355:J355" si="80">SUM(C357:C358)</f>
        <v>46983</v>
      </c>
      <c r="D355" s="72">
        <f t="shared" si="80"/>
        <v>0</v>
      </c>
      <c r="E355" s="90">
        <f t="shared" si="80"/>
        <v>7585</v>
      </c>
      <c r="F355" s="42">
        <f t="shared" si="80"/>
        <v>54568</v>
      </c>
      <c r="G355" s="42">
        <f t="shared" si="80"/>
        <v>0</v>
      </c>
      <c r="H355" s="42">
        <f t="shared" si="80"/>
        <v>54576</v>
      </c>
      <c r="I355" s="42">
        <f t="shared" si="80"/>
        <v>7139</v>
      </c>
      <c r="J355" s="42">
        <f t="shared" si="80"/>
        <v>14098</v>
      </c>
      <c r="K355" s="150">
        <f>SUM(K357:K358)</f>
        <v>78840</v>
      </c>
      <c r="L355" s="123">
        <f>SUM(L357:L358)</f>
        <v>-1610</v>
      </c>
      <c r="M355" s="124">
        <f>SUM(M357:M358)</f>
        <v>660</v>
      </c>
      <c r="N355" s="123">
        <f t="shared" si="72"/>
        <v>77890</v>
      </c>
      <c r="O355" s="123">
        <f>SUM(O357:O358)</f>
        <v>0</v>
      </c>
      <c r="P355" s="123">
        <f>SUM(P357:P358)</f>
        <v>3807</v>
      </c>
      <c r="Q355" s="124">
        <f>SUM(Q357:Q358)</f>
        <v>-38391</v>
      </c>
      <c r="R355" s="123">
        <f>SUM(R357:R358)</f>
        <v>0</v>
      </c>
      <c r="S355" s="172">
        <f t="shared" si="77"/>
        <v>43306</v>
      </c>
      <c r="T355" s="122"/>
    </row>
    <row r="356" spans="1:20" ht="12.75" customHeight="1" x14ac:dyDescent="0.25">
      <c r="A356" s="57" t="s">
        <v>27</v>
      </c>
      <c r="B356" s="47"/>
      <c r="C356" s="16"/>
      <c r="D356" s="73"/>
      <c r="E356" s="91"/>
      <c r="F356" s="16"/>
      <c r="G356" s="16"/>
      <c r="H356" s="102"/>
      <c r="I356" s="102"/>
      <c r="J356" s="102"/>
      <c r="K356" s="144"/>
      <c r="L356" s="102"/>
      <c r="M356" s="103"/>
      <c r="N356" s="102"/>
      <c r="O356" s="102"/>
      <c r="P356" s="102"/>
      <c r="Q356" s="103"/>
      <c r="R356" s="102"/>
      <c r="S356" s="165"/>
    </row>
    <row r="357" spans="1:20" ht="15.75" customHeight="1" x14ac:dyDescent="0.25">
      <c r="A357" s="54" t="s">
        <v>213</v>
      </c>
      <c r="B357" s="49"/>
      <c r="C357" s="19">
        <v>46983</v>
      </c>
      <c r="D357" s="74">
        <v>0</v>
      </c>
      <c r="E357" s="92">
        <v>7585</v>
      </c>
      <c r="F357" s="19">
        <f>SUM(C357:E357)</f>
        <v>54568</v>
      </c>
      <c r="G357" s="19">
        <v>0</v>
      </c>
      <c r="H357" s="104">
        <f>SUM(F357:G357)+8</f>
        <v>54576</v>
      </c>
      <c r="I357" s="104">
        <v>7139</v>
      </c>
      <c r="J357" s="104">
        <f>2598+11500</f>
        <v>14098</v>
      </c>
      <c r="K357" s="144">
        <f>SUM(H357:J357)+3027</f>
        <v>78840</v>
      </c>
      <c r="L357" s="104">
        <f>-1610</f>
        <v>-1610</v>
      </c>
      <c r="M357" s="103">
        <f>660</f>
        <v>660</v>
      </c>
      <c r="N357" s="102">
        <f t="shared" si="72"/>
        <v>77890</v>
      </c>
      <c r="O357" s="104">
        <v>0</v>
      </c>
      <c r="P357" s="104">
        <f>880+1243+1684</f>
        <v>3807</v>
      </c>
      <c r="Q357" s="105">
        <f>-38391</f>
        <v>-38391</v>
      </c>
      <c r="R357" s="104">
        <v>0</v>
      </c>
      <c r="S357" s="173">
        <f>SUM(N357:R357)</f>
        <v>43306</v>
      </c>
    </row>
    <row r="358" spans="1:20" ht="28.5" customHeight="1" thickBot="1" x14ac:dyDescent="0.3">
      <c r="A358" s="20" t="s">
        <v>227</v>
      </c>
      <c r="B358" s="45"/>
      <c r="C358" s="22">
        <v>0</v>
      </c>
      <c r="D358" s="71">
        <v>0</v>
      </c>
      <c r="E358" s="89">
        <v>0</v>
      </c>
      <c r="F358" s="22">
        <f>SUM(C358:E358)</f>
        <v>0</v>
      </c>
      <c r="G358" s="22">
        <v>0</v>
      </c>
      <c r="H358" s="106">
        <f t="shared" si="75"/>
        <v>0</v>
      </c>
      <c r="I358" s="106">
        <v>0</v>
      </c>
      <c r="J358" s="106">
        <v>0</v>
      </c>
      <c r="K358" s="228">
        <f t="shared" si="79"/>
        <v>0</v>
      </c>
      <c r="L358" s="106">
        <v>0</v>
      </c>
      <c r="M358" s="137">
        <v>0</v>
      </c>
      <c r="N358" s="108">
        <f t="shared" si="72"/>
        <v>0</v>
      </c>
      <c r="O358" s="106">
        <v>0</v>
      </c>
      <c r="P358" s="106">
        <v>0</v>
      </c>
      <c r="Q358" s="107">
        <v>0</v>
      </c>
      <c r="R358" s="106">
        <v>0</v>
      </c>
      <c r="S358" s="182">
        <f>SUM(N358:R358)</f>
        <v>0</v>
      </c>
    </row>
    <row r="359" spans="1:20" ht="17.25" customHeight="1" thickBot="1" x14ac:dyDescent="0.3">
      <c r="A359" s="56" t="s">
        <v>133</v>
      </c>
      <c r="B359" s="50"/>
      <c r="C359" s="42">
        <f t="shared" ref="C359:J359" si="81">SUM(C361:C367)</f>
        <v>24838.940000000002</v>
      </c>
      <c r="D359" s="72">
        <f t="shared" si="81"/>
        <v>50</v>
      </c>
      <c r="E359" s="88">
        <f t="shared" si="81"/>
        <v>-2520</v>
      </c>
      <c r="F359" s="42">
        <f t="shared" si="81"/>
        <v>22368.940000000002</v>
      </c>
      <c r="G359" s="42">
        <f t="shared" si="81"/>
        <v>0</v>
      </c>
      <c r="H359" s="42">
        <f t="shared" si="81"/>
        <v>22482.940000000002</v>
      </c>
      <c r="I359" s="42">
        <f t="shared" si="81"/>
        <v>-1181</v>
      </c>
      <c r="J359" s="42">
        <f t="shared" si="81"/>
        <v>0</v>
      </c>
      <c r="K359" s="150">
        <f>SUM(K361:K367)</f>
        <v>21453.940000000002</v>
      </c>
      <c r="L359" s="123">
        <f>SUM(L361:L367)</f>
        <v>-1060</v>
      </c>
      <c r="M359" s="124">
        <f>SUM(M361:M367)</f>
        <v>0</v>
      </c>
      <c r="N359" s="123">
        <f t="shared" si="72"/>
        <v>20393.940000000002</v>
      </c>
      <c r="O359" s="123">
        <f>SUM(O361:O367)</f>
        <v>0</v>
      </c>
      <c r="P359" s="123">
        <f>SUM(P361:P367)</f>
        <v>33.099999999999994</v>
      </c>
      <c r="Q359" s="124">
        <f>SUM(Q361:Q367)</f>
        <v>-13838.52</v>
      </c>
      <c r="R359" s="123">
        <f>SUM(R361:R367)</f>
        <v>0</v>
      </c>
      <c r="S359" s="172">
        <f>SUM(N359:R359)</f>
        <v>6588.52</v>
      </c>
      <c r="T359" s="122"/>
    </row>
    <row r="360" spans="1:20" ht="15.75" customHeight="1" x14ac:dyDescent="0.25">
      <c r="A360" s="57" t="s">
        <v>27</v>
      </c>
      <c r="B360" s="47"/>
      <c r="C360" s="16"/>
      <c r="D360" s="73"/>
      <c r="E360" s="82"/>
      <c r="F360" s="16"/>
      <c r="G360" s="16"/>
      <c r="H360" s="102"/>
      <c r="I360" s="102"/>
      <c r="J360" s="102"/>
      <c r="K360" s="144"/>
      <c r="L360" s="102"/>
      <c r="M360" s="103"/>
      <c r="N360" s="102"/>
      <c r="O360" s="102"/>
      <c r="P360" s="102"/>
      <c r="Q360" s="103"/>
      <c r="R360" s="102"/>
      <c r="S360" s="165"/>
    </row>
    <row r="361" spans="1:20" ht="15" customHeight="1" x14ac:dyDescent="0.25">
      <c r="A361" s="54" t="s">
        <v>213</v>
      </c>
      <c r="B361" s="49"/>
      <c r="C361" s="104">
        <v>5283.06</v>
      </c>
      <c r="D361" s="104">
        <f>50</f>
        <v>50</v>
      </c>
      <c r="E361" s="105">
        <v>480</v>
      </c>
      <c r="F361" s="104">
        <f>SUM(C361:E361)</f>
        <v>5813.06</v>
      </c>
      <c r="G361" s="104">
        <v>0</v>
      </c>
      <c r="H361" s="104">
        <f>SUM(F361:G361)+114</f>
        <v>5927.06</v>
      </c>
      <c r="I361" s="104">
        <v>-1265</v>
      </c>
      <c r="J361" s="104">
        <v>0</v>
      </c>
      <c r="K361" s="144">
        <f>SUM(H361:J361)+152</f>
        <v>4814.0600000000004</v>
      </c>
      <c r="L361" s="104">
        <f>-1060</f>
        <v>-1060</v>
      </c>
      <c r="M361" s="103">
        <v>0</v>
      </c>
      <c r="N361" s="102">
        <f t="shared" si="72"/>
        <v>3754.0600000000004</v>
      </c>
      <c r="O361" s="104">
        <v>0</v>
      </c>
      <c r="P361" s="104">
        <f>-19.8+52.9</f>
        <v>33.099999999999994</v>
      </c>
      <c r="Q361" s="105">
        <f>-54.69</f>
        <v>-54.69</v>
      </c>
      <c r="R361" s="104">
        <v>0</v>
      </c>
      <c r="S361" s="173">
        <f t="shared" ref="S361:S368" si="82">SUM(N361:R361)</f>
        <v>3732.4700000000003</v>
      </c>
    </row>
    <row r="362" spans="1:20" ht="26.25" customHeight="1" x14ac:dyDescent="0.25">
      <c r="A362" s="17" t="s">
        <v>228</v>
      </c>
      <c r="B362" s="49"/>
      <c r="C362" s="104">
        <v>3000</v>
      </c>
      <c r="D362" s="104">
        <v>0</v>
      </c>
      <c r="E362" s="105">
        <v>-3000</v>
      </c>
      <c r="F362" s="104">
        <f t="shared" ref="F362:F367" si="83">SUM(C362:E362)</f>
        <v>0</v>
      </c>
      <c r="G362" s="104">
        <v>0</v>
      </c>
      <c r="H362" s="104">
        <f t="shared" si="75"/>
        <v>0</v>
      </c>
      <c r="I362" s="104">
        <v>0</v>
      </c>
      <c r="J362" s="104">
        <v>0</v>
      </c>
      <c r="K362" s="144">
        <f t="shared" si="79"/>
        <v>0</v>
      </c>
      <c r="L362" s="104">
        <v>0</v>
      </c>
      <c r="M362" s="103">
        <v>0</v>
      </c>
      <c r="N362" s="102">
        <f t="shared" si="72"/>
        <v>0</v>
      </c>
      <c r="O362" s="104">
        <v>0</v>
      </c>
      <c r="P362" s="104">
        <v>0</v>
      </c>
      <c r="Q362" s="105">
        <v>0</v>
      </c>
      <c r="R362" s="104">
        <v>0</v>
      </c>
      <c r="S362" s="173">
        <f t="shared" si="82"/>
        <v>0</v>
      </c>
    </row>
    <row r="363" spans="1:20" ht="27.75" customHeight="1" x14ac:dyDescent="0.25">
      <c r="A363" s="17" t="s">
        <v>229</v>
      </c>
      <c r="B363" s="49" t="s">
        <v>135</v>
      </c>
      <c r="C363" s="104">
        <v>655.88</v>
      </c>
      <c r="D363" s="104">
        <v>0</v>
      </c>
      <c r="E363" s="105">
        <v>0</v>
      </c>
      <c r="F363" s="104">
        <f t="shared" si="83"/>
        <v>655.88</v>
      </c>
      <c r="G363" s="104">
        <v>0</v>
      </c>
      <c r="H363" s="104">
        <f t="shared" si="75"/>
        <v>655.88</v>
      </c>
      <c r="I363" s="104">
        <v>0</v>
      </c>
      <c r="J363" s="104">
        <v>0</v>
      </c>
      <c r="K363" s="144">
        <f t="shared" si="79"/>
        <v>655.88</v>
      </c>
      <c r="L363" s="104">
        <f>0</f>
        <v>0</v>
      </c>
      <c r="M363" s="103">
        <v>0</v>
      </c>
      <c r="N363" s="102">
        <f t="shared" si="72"/>
        <v>655.88</v>
      </c>
      <c r="O363" s="104">
        <v>0</v>
      </c>
      <c r="P363" s="104">
        <v>0</v>
      </c>
      <c r="Q363" s="105">
        <f>-290.88</f>
        <v>-290.88</v>
      </c>
      <c r="R363" s="104">
        <v>0</v>
      </c>
      <c r="S363" s="173">
        <f t="shared" si="82"/>
        <v>365</v>
      </c>
    </row>
    <row r="364" spans="1:20" ht="26.25" customHeight="1" x14ac:dyDescent="0.25">
      <c r="A364" s="17" t="s">
        <v>230</v>
      </c>
      <c r="B364" s="49" t="s">
        <v>231</v>
      </c>
      <c r="C364" s="104">
        <v>15500</v>
      </c>
      <c r="D364" s="104">
        <v>0</v>
      </c>
      <c r="E364" s="105">
        <v>0</v>
      </c>
      <c r="F364" s="104">
        <f t="shared" si="83"/>
        <v>15500</v>
      </c>
      <c r="G364" s="104">
        <v>0</v>
      </c>
      <c r="H364" s="104">
        <f t="shared" si="75"/>
        <v>15500</v>
      </c>
      <c r="I364" s="104">
        <v>0</v>
      </c>
      <c r="J364" s="104">
        <v>0</v>
      </c>
      <c r="K364" s="144">
        <f t="shared" si="79"/>
        <v>15500</v>
      </c>
      <c r="L364" s="104">
        <f>0</f>
        <v>0</v>
      </c>
      <c r="M364" s="103">
        <v>0</v>
      </c>
      <c r="N364" s="102">
        <f t="shared" si="72"/>
        <v>15500</v>
      </c>
      <c r="O364" s="104">
        <v>0</v>
      </c>
      <c r="P364" s="104">
        <v>0</v>
      </c>
      <c r="Q364" s="105">
        <f>-13092.95</f>
        <v>-13092.95</v>
      </c>
      <c r="R364" s="104">
        <v>0</v>
      </c>
      <c r="S364" s="173">
        <f t="shared" si="82"/>
        <v>2407.0499999999993</v>
      </c>
    </row>
    <row r="365" spans="1:20" ht="25.5" customHeight="1" x14ac:dyDescent="0.25">
      <c r="A365" s="17" t="s">
        <v>232</v>
      </c>
      <c r="B365" s="53" t="s">
        <v>119</v>
      </c>
      <c r="C365" s="104">
        <v>400</v>
      </c>
      <c r="D365" s="104">
        <v>0</v>
      </c>
      <c r="E365" s="105">
        <v>0</v>
      </c>
      <c r="F365" s="104">
        <f t="shared" si="83"/>
        <v>400</v>
      </c>
      <c r="G365" s="104">
        <v>0</v>
      </c>
      <c r="H365" s="104">
        <f t="shared" si="75"/>
        <v>400</v>
      </c>
      <c r="I365" s="104">
        <v>0</v>
      </c>
      <c r="J365" s="104">
        <v>0</v>
      </c>
      <c r="K365" s="144">
        <f t="shared" si="79"/>
        <v>400</v>
      </c>
      <c r="L365" s="104">
        <v>0</v>
      </c>
      <c r="M365" s="103">
        <v>0</v>
      </c>
      <c r="N365" s="102">
        <f t="shared" si="72"/>
        <v>400</v>
      </c>
      <c r="O365" s="104">
        <v>0</v>
      </c>
      <c r="P365" s="104">
        <v>0</v>
      </c>
      <c r="Q365" s="105">
        <f>-400</f>
        <v>-400</v>
      </c>
      <c r="R365" s="104">
        <v>0</v>
      </c>
      <c r="S365" s="173">
        <f t="shared" si="82"/>
        <v>0</v>
      </c>
    </row>
    <row r="366" spans="1:20" ht="36" customHeight="1" x14ac:dyDescent="0.25">
      <c r="A366" s="17" t="s">
        <v>337</v>
      </c>
      <c r="B366" s="53" t="s">
        <v>338</v>
      </c>
      <c r="C366" s="104">
        <v>0</v>
      </c>
      <c r="D366" s="104"/>
      <c r="E366" s="105"/>
      <c r="F366" s="104"/>
      <c r="G366" s="104"/>
      <c r="H366" s="104">
        <v>0</v>
      </c>
      <c r="I366" s="104">
        <v>84</v>
      </c>
      <c r="J366" s="104">
        <v>0</v>
      </c>
      <c r="K366" s="115">
        <f t="shared" si="79"/>
        <v>84</v>
      </c>
      <c r="L366" s="104">
        <v>0</v>
      </c>
      <c r="M366" s="103">
        <v>0</v>
      </c>
      <c r="N366" s="102">
        <f t="shared" si="72"/>
        <v>84</v>
      </c>
      <c r="O366" s="104">
        <v>0</v>
      </c>
      <c r="P366" s="104">
        <v>0</v>
      </c>
      <c r="Q366" s="105">
        <v>0</v>
      </c>
      <c r="R366" s="104">
        <v>0</v>
      </c>
      <c r="S366" s="173">
        <f t="shared" si="82"/>
        <v>84</v>
      </c>
    </row>
    <row r="367" spans="1:20" ht="24.75" customHeight="1" thickBot="1" x14ac:dyDescent="0.3">
      <c r="A367" s="20" t="s">
        <v>233</v>
      </c>
      <c r="B367" s="45"/>
      <c r="C367" s="106">
        <v>0</v>
      </c>
      <c r="D367" s="106">
        <v>0</v>
      </c>
      <c r="E367" s="107">
        <v>0</v>
      </c>
      <c r="F367" s="106">
        <f t="shared" si="83"/>
        <v>0</v>
      </c>
      <c r="G367" s="106">
        <v>0</v>
      </c>
      <c r="H367" s="106">
        <f t="shared" si="75"/>
        <v>0</v>
      </c>
      <c r="I367" s="106">
        <v>0</v>
      </c>
      <c r="J367" s="106">
        <v>0</v>
      </c>
      <c r="K367" s="113">
        <f t="shared" si="79"/>
        <v>0</v>
      </c>
      <c r="L367" s="106">
        <v>0</v>
      </c>
      <c r="M367" s="137">
        <v>0</v>
      </c>
      <c r="N367" s="108">
        <f t="shared" si="72"/>
        <v>0</v>
      </c>
      <c r="O367" s="106">
        <v>0</v>
      </c>
      <c r="P367" s="106">
        <v>0</v>
      </c>
      <c r="Q367" s="107">
        <v>0</v>
      </c>
      <c r="R367" s="106">
        <v>0</v>
      </c>
      <c r="S367" s="182">
        <f t="shared" si="82"/>
        <v>0</v>
      </c>
    </row>
    <row r="368" spans="1:20" ht="15.75" customHeight="1" thickBot="1" x14ac:dyDescent="0.3">
      <c r="A368" s="56" t="s">
        <v>142</v>
      </c>
      <c r="B368" s="50"/>
      <c r="C368" s="42">
        <f t="shared" ref="C368:J368" si="84">SUM(C370:C373)</f>
        <v>1000</v>
      </c>
      <c r="D368" s="42">
        <f t="shared" si="84"/>
        <v>0</v>
      </c>
      <c r="E368" s="88">
        <f t="shared" si="84"/>
        <v>0</v>
      </c>
      <c r="F368" s="42">
        <f t="shared" si="84"/>
        <v>1000</v>
      </c>
      <c r="G368" s="72">
        <f t="shared" si="84"/>
        <v>0</v>
      </c>
      <c r="H368" s="42">
        <f t="shared" si="84"/>
        <v>1000</v>
      </c>
      <c r="I368" s="42">
        <f t="shared" si="84"/>
        <v>0</v>
      </c>
      <c r="J368" s="42">
        <f t="shared" si="84"/>
        <v>0</v>
      </c>
      <c r="K368" s="150">
        <f t="shared" si="79"/>
        <v>1000</v>
      </c>
      <c r="L368" s="123">
        <f>SUM(L370:L373)</f>
        <v>700</v>
      </c>
      <c r="M368" s="124">
        <f>SUM(M370:M373)</f>
        <v>0</v>
      </c>
      <c r="N368" s="123">
        <f t="shared" si="72"/>
        <v>1700</v>
      </c>
      <c r="O368" s="123">
        <f>SUM(O370:O373)</f>
        <v>0</v>
      </c>
      <c r="P368" s="123">
        <f>SUM(P370:P373)</f>
        <v>0</v>
      </c>
      <c r="Q368" s="124">
        <f>SUM(Q370:Q373)</f>
        <v>0</v>
      </c>
      <c r="R368" s="123">
        <f>SUM(R370:R373)</f>
        <v>0</v>
      </c>
      <c r="S368" s="172">
        <f t="shared" si="82"/>
        <v>1700</v>
      </c>
      <c r="T368" s="122"/>
    </row>
    <row r="369" spans="1:20" ht="13.5" customHeight="1" x14ac:dyDescent="0.25">
      <c r="A369" s="57" t="s">
        <v>27</v>
      </c>
      <c r="B369" s="47"/>
      <c r="C369" s="16"/>
      <c r="D369" s="16"/>
      <c r="E369" s="82"/>
      <c r="F369" s="16"/>
      <c r="G369" s="16"/>
      <c r="H369" s="102"/>
      <c r="I369" s="102"/>
      <c r="J369" s="102"/>
      <c r="K369" s="144"/>
      <c r="L369" s="102"/>
      <c r="M369" s="103"/>
      <c r="N369" s="102"/>
      <c r="O369" s="102"/>
      <c r="P369" s="102"/>
      <c r="Q369" s="103"/>
      <c r="R369" s="102"/>
      <c r="S369" s="165"/>
    </row>
    <row r="370" spans="1:20" ht="23.25" customHeight="1" x14ac:dyDescent="0.25">
      <c r="A370" s="17" t="s">
        <v>234</v>
      </c>
      <c r="B370" s="53" t="s">
        <v>36</v>
      </c>
      <c r="C370" s="19">
        <v>1000</v>
      </c>
      <c r="D370" s="19">
        <v>0</v>
      </c>
      <c r="E370" s="83">
        <v>0</v>
      </c>
      <c r="F370" s="19">
        <f>SUM(C370:E370)</f>
        <v>1000</v>
      </c>
      <c r="G370" s="19">
        <v>0</v>
      </c>
      <c r="H370" s="104">
        <f t="shared" si="75"/>
        <v>1000</v>
      </c>
      <c r="I370" s="104">
        <v>0</v>
      </c>
      <c r="J370" s="104">
        <v>0</v>
      </c>
      <c r="K370" s="144">
        <f t="shared" si="79"/>
        <v>1000</v>
      </c>
      <c r="L370" s="104">
        <v>0</v>
      </c>
      <c r="M370" s="103">
        <v>0</v>
      </c>
      <c r="N370" s="102">
        <f t="shared" si="72"/>
        <v>1000</v>
      </c>
      <c r="O370" s="104">
        <v>0</v>
      </c>
      <c r="P370" s="104">
        <v>0</v>
      </c>
      <c r="Q370" s="105">
        <v>0</v>
      </c>
      <c r="R370" s="104">
        <v>0</v>
      </c>
      <c r="S370" s="173">
        <f>SUM(N370:R370)</f>
        <v>1000</v>
      </c>
    </row>
    <row r="371" spans="1:20" ht="39" customHeight="1" x14ac:dyDescent="0.25">
      <c r="A371" s="17" t="s">
        <v>361</v>
      </c>
      <c r="B371" s="53" t="s">
        <v>362</v>
      </c>
      <c r="C371" s="104">
        <v>0</v>
      </c>
      <c r="D371" s="19"/>
      <c r="E371" s="83"/>
      <c r="F371" s="19"/>
      <c r="G371" s="19"/>
      <c r="H371" s="104"/>
      <c r="I371" s="104"/>
      <c r="J371" s="104"/>
      <c r="K371" s="115">
        <v>0</v>
      </c>
      <c r="L371" s="104">
        <f>500</f>
        <v>500</v>
      </c>
      <c r="M371" s="105">
        <v>0</v>
      </c>
      <c r="N371" s="102">
        <f t="shared" si="72"/>
        <v>500</v>
      </c>
      <c r="O371" s="104">
        <v>0</v>
      </c>
      <c r="P371" s="104">
        <v>0</v>
      </c>
      <c r="Q371" s="105">
        <v>0</v>
      </c>
      <c r="R371" s="104">
        <v>0</v>
      </c>
      <c r="S371" s="173">
        <f>SUM(N371:R371)</f>
        <v>500</v>
      </c>
    </row>
    <row r="372" spans="1:20" ht="39.75" customHeight="1" x14ac:dyDescent="0.25">
      <c r="A372" s="17" t="s">
        <v>363</v>
      </c>
      <c r="B372" s="53" t="s">
        <v>362</v>
      </c>
      <c r="C372" s="104">
        <v>0</v>
      </c>
      <c r="D372" s="19"/>
      <c r="E372" s="83"/>
      <c r="F372" s="19"/>
      <c r="G372" s="19"/>
      <c r="H372" s="104"/>
      <c r="I372" s="104"/>
      <c r="J372" s="104"/>
      <c r="K372" s="115">
        <v>0</v>
      </c>
      <c r="L372" s="104">
        <f>200</f>
        <v>200</v>
      </c>
      <c r="M372" s="105">
        <v>0</v>
      </c>
      <c r="N372" s="102">
        <f t="shared" si="72"/>
        <v>200</v>
      </c>
      <c r="O372" s="104">
        <v>0</v>
      </c>
      <c r="P372" s="104">
        <v>0</v>
      </c>
      <c r="Q372" s="105">
        <v>0</v>
      </c>
      <c r="R372" s="104">
        <v>0</v>
      </c>
      <c r="S372" s="173">
        <f>SUM(N372:R372)</f>
        <v>200</v>
      </c>
    </row>
    <row r="373" spans="1:20" ht="17.25" customHeight="1" thickBot="1" x14ac:dyDescent="0.3">
      <c r="A373" s="143" t="s">
        <v>235</v>
      </c>
      <c r="B373" s="93"/>
      <c r="C373" s="27">
        <v>0</v>
      </c>
      <c r="D373" s="27">
        <v>0</v>
      </c>
      <c r="E373" s="85">
        <v>0</v>
      </c>
      <c r="F373" s="27">
        <f>SUM(C373:E373)</f>
        <v>0</v>
      </c>
      <c r="G373" s="27">
        <v>0</v>
      </c>
      <c r="H373" s="108">
        <f t="shared" si="75"/>
        <v>0</v>
      </c>
      <c r="I373" s="108">
        <v>0</v>
      </c>
      <c r="J373" s="108">
        <v>0</v>
      </c>
      <c r="K373" s="228">
        <f t="shared" si="79"/>
        <v>0</v>
      </c>
      <c r="L373" s="108">
        <v>0</v>
      </c>
      <c r="M373" s="137">
        <v>0</v>
      </c>
      <c r="N373" s="108">
        <f t="shared" si="72"/>
        <v>0</v>
      </c>
      <c r="O373" s="106">
        <v>0</v>
      </c>
      <c r="P373" s="106">
        <v>0</v>
      </c>
      <c r="Q373" s="107">
        <v>0</v>
      </c>
      <c r="R373" s="106">
        <v>0</v>
      </c>
      <c r="S373" s="182">
        <f>SUM(N373:R373)</f>
        <v>0</v>
      </c>
    </row>
    <row r="374" spans="1:20" ht="15.75" customHeight="1" thickBot="1" x14ac:dyDescent="0.3">
      <c r="A374" s="56" t="s">
        <v>180</v>
      </c>
      <c r="B374" s="50"/>
      <c r="C374" s="42">
        <f t="shared" ref="C374:J374" si="85">SUM(C376:C380)</f>
        <v>253596</v>
      </c>
      <c r="D374" s="42">
        <f t="shared" si="85"/>
        <v>-4619</v>
      </c>
      <c r="E374" s="88">
        <f t="shared" si="85"/>
        <v>24941</v>
      </c>
      <c r="F374" s="42">
        <f t="shared" si="85"/>
        <v>273918</v>
      </c>
      <c r="G374" s="42">
        <f t="shared" si="85"/>
        <v>15799</v>
      </c>
      <c r="H374" s="42">
        <f t="shared" si="85"/>
        <v>289717</v>
      </c>
      <c r="I374" s="42">
        <f t="shared" si="85"/>
        <v>1400</v>
      </c>
      <c r="J374" s="42">
        <f t="shared" si="85"/>
        <v>-13411</v>
      </c>
      <c r="K374" s="150">
        <f t="shared" si="79"/>
        <v>277706</v>
      </c>
      <c r="L374" s="123">
        <f>SUM(L376:L380)</f>
        <v>4569</v>
      </c>
      <c r="M374" s="124">
        <f>SUM(M376:M380)</f>
        <v>-50</v>
      </c>
      <c r="N374" s="123">
        <f t="shared" si="72"/>
        <v>282225</v>
      </c>
      <c r="O374" s="123">
        <f>SUM(O376:O380)</f>
        <v>0</v>
      </c>
      <c r="P374" s="123">
        <f>SUM(P376:P380)</f>
        <v>-272</v>
      </c>
      <c r="Q374" s="124">
        <f>SUM(Q376:Q380)</f>
        <v>-103702</v>
      </c>
      <c r="R374" s="123">
        <f>SUM(R376:R380)</f>
        <v>-195</v>
      </c>
      <c r="S374" s="172">
        <f>SUM(N374:R374)</f>
        <v>178056</v>
      </c>
      <c r="T374" s="122"/>
    </row>
    <row r="375" spans="1:20" ht="15" customHeight="1" x14ac:dyDescent="0.25">
      <c r="A375" s="57" t="s">
        <v>27</v>
      </c>
      <c r="B375" s="47"/>
      <c r="C375" s="16"/>
      <c r="D375" s="16"/>
      <c r="E375" s="82"/>
      <c r="F375" s="16"/>
      <c r="G375" s="16"/>
      <c r="H375" s="102"/>
      <c r="I375" s="102"/>
      <c r="J375" s="102"/>
      <c r="K375" s="144"/>
      <c r="L375" s="102"/>
      <c r="M375" s="103"/>
      <c r="N375" s="102"/>
      <c r="O375" s="102"/>
      <c r="P375" s="102"/>
      <c r="Q375" s="103"/>
      <c r="R375" s="102"/>
      <c r="S375" s="165"/>
    </row>
    <row r="376" spans="1:20" ht="17.25" customHeight="1" x14ac:dyDescent="0.25">
      <c r="A376" s="54" t="s">
        <v>213</v>
      </c>
      <c r="B376" s="49"/>
      <c r="C376" s="104">
        <v>252596</v>
      </c>
      <c r="D376" s="104">
        <f>-3559-992-68</f>
        <v>-4619</v>
      </c>
      <c r="E376" s="105">
        <v>21663</v>
      </c>
      <c r="F376" s="104">
        <f>SUM(C376:E376)</f>
        <v>269640</v>
      </c>
      <c r="G376" s="104">
        <f>4855+200+10944</f>
        <v>15999</v>
      </c>
      <c r="H376" s="104">
        <f t="shared" si="75"/>
        <v>285639</v>
      </c>
      <c r="I376" s="104">
        <v>1400</v>
      </c>
      <c r="J376" s="104">
        <f>-8411-5000</f>
        <v>-13411</v>
      </c>
      <c r="K376" s="144">
        <f t="shared" si="79"/>
        <v>273628</v>
      </c>
      <c r="L376" s="104">
        <v>0</v>
      </c>
      <c r="M376" s="103">
        <f>988-38</f>
        <v>950</v>
      </c>
      <c r="N376" s="102">
        <f t="shared" si="72"/>
        <v>274578</v>
      </c>
      <c r="O376" s="104">
        <v>0</v>
      </c>
      <c r="P376" s="104">
        <f>-272</f>
        <v>-272</v>
      </c>
      <c r="Q376" s="105">
        <f>-103702</f>
        <v>-103702</v>
      </c>
      <c r="R376" s="104">
        <f>-195</f>
        <v>-195</v>
      </c>
      <c r="S376" s="173">
        <f t="shared" ref="S376:S381" si="86">SUM(N376:R376)</f>
        <v>170409</v>
      </c>
    </row>
    <row r="377" spans="1:20" ht="22.5" customHeight="1" x14ac:dyDescent="0.25">
      <c r="A377" s="17" t="s">
        <v>236</v>
      </c>
      <c r="B377" s="49"/>
      <c r="C377" s="104">
        <v>1000</v>
      </c>
      <c r="D377" s="104">
        <v>0</v>
      </c>
      <c r="E377" s="105">
        <v>0</v>
      </c>
      <c r="F377" s="104">
        <f t="shared" ref="F377:F380" si="87">SUM(C377:E377)</f>
        <v>1000</v>
      </c>
      <c r="G377" s="104">
        <v>0</v>
      </c>
      <c r="H377" s="104">
        <f t="shared" si="75"/>
        <v>1000</v>
      </c>
      <c r="I377" s="104">
        <v>0</v>
      </c>
      <c r="J377" s="104">
        <v>0</v>
      </c>
      <c r="K377" s="144">
        <f t="shared" si="79"/>
        <v>1000</v>
      </c>
      <c r="L377" s="104">
        <v>0</v>
      </c>
      <c r="M377" s="103">
        <f>-1000</f>
        <v>-1000</v>
      </c>
      <c r="N377" s="102">
        <f t="shared" si="72"/>
        <v>0</v>
      </c>
      <c r="O377" s="104">
        <v>0</v>
      </c>
      <c r="P377" s="104">
        <v>0</v>
      </c>
      <c r="Q377" s="105">
        <v>0</v>
      </c>
      <c r="R377" s="104">
        <v>0</v>
      </c>
      <c r="S377" s="173">
        <f t="shared" si="86"/>
        <v>0</v>
      </c>
    </row>
    <row r="378" spans="1:20" ht="17.25" customHeight="1" x14ac:dyDescent="0.25">
      <c r="A378" s="54" t="s">
        <v>237</v>
      </c>
      <c r="B378" s="49"/>
      <c r="C378" s="104">
        <v>0</v>
      </c>
      <c r="D378" s="104">
        <v>0</v>
      </c>
      <c r="E378" s="105">
        <v>278</v>
      </c>
      <c r="F378" s="104">
        <f t="shared" si="87"/>
        <v>278</v>
      </c>
      <c r="G378" s="104">
        <f>-200</f>
        <v>-200</v>
      </c>
      <c r="H378" s="104">
        <f t="shared" si="75"/>
        <v>78</v>
      </c>
      <c r="I378" s="104">
        <v>0</v>
      </c>
      <c r="J378" s="104">
        <v>0</v>
      </c>
      <c r="K378" s="144">
        <f t="shared" si="79"/>
        <v>78</v>
      </c>
      <c r="L378" s="104">
        <f>4569</f>
        <v>4569</v>
      </c>
      <c r="M378" s="103">
        <v>0</v>
      </c>
      <c r="N378" s="102">
        <f t="shared" si="72"/>
        <v>4647</v>
      </c>
      <c r="O378" s="104">
        <v>0</v>
      </c>
      <c r="P378" s="104">
        <v>0</v>
      </c>
      <c r="Q378" s="105">
        <v>0</v>
      </c>
      <c r="R378" s="104">
        <v>0</v>
      </c>
      <c r="S378" s="173">
        <f t="shared" si="86"/>
        <v>4647</v>
      </c>
    </row>
    <row r="379" spans="1:20" ht="26.25" customHeight="1" x14ac:dyDescent="0.25">
      <c r="A379" s="17" t="s">
        <v>228</v>
      </c>
      <c r="B379" s="49"/>
      <c r="C379" s="104">
        <v>0</v>
      </c>
      <c r="D379" s="104">
        <v>0</v>
      </c>
      <c r="E379" s="105">
        <v>3000</v>
      </c>
      <c r="F379" s="104">
        <f t="shared" si="87"/>
        <v>3000</v>
      </c>
      <c r="G379" s="104">
        <v>0</v>
      </c>
      <c r="H379" s="104">
        <f t="shared" si="75"/>
        <v>3000</v>
      </c>
      <c r="I379" s="104">
        <v>0</v>
      </c>
      <c r="J379" s="104">
        <v>0</v>
      </c>
      <c r="K379" s="144">
        <f t="shared" si="79"/>
        <v>3000</v>
      </c>
      <c r="L379" s="104">
        <v>0</v>
      </c>
      <c r="M379" s="103">
        <v>0</v>
      </c>
      <c r="N379" s="102">
        <f t="shared" si="72"/>
        <v>3000</v>
      </c>
      <c r="O379" s="104">
        <v>0</v>
      </c>
      <c r="P379" s="104">
        <v>0</v>
      </c>
      <c r="Q379" s="105">
        <v>0</v>
      </c>
      <c r="R379" s="104">
        <v>0</v>
      </c>
      <c r="S379" s="173">
        <f t="shared" si="86"/>
        <v>3000</v>
      </c>
    </row>
    <row r="380" spans="1:20" ht="17.25" customHeight="1" thickBot="1" x14ac:dyDescent="0.3">
      <c r="A380" s="55" t="s">
        <v>238</v>
      </c>
      <c r="B380" s="45"/>
      <c r="C380" s="106">
        <v>0</v>
      </c>
      <c r="D380" s="106">
        <v>0</v>
      </c>
      <c r="E380" s="107">
        <v>0</v>
      </c>
      <c r="F380" s="106">
        <f t="shared" si="87"/>
        <v>0</v>
      </c>
      <c r="G380" s="106">
        <v>0</v>
      </c>
      <c r="H380" s="106">
        <f t="shared" si="75"/>
        <v>0</v>
      </c>
      <c r="I380" s="106">
        <v>0</v>
      </c>
      <c r="J380" s="106">
        <v>0</v>
      </c>
      <c r="K380" s="113">
        <f t="shared" si="79"/>
        <v>0</v>
      </c>
      <c r="L380" s="106">
        <v>0</v>
      </c>
      <c r="M380" s="107">
        <v>0</v>
      </c>
      <c r="N380" s="106">
        <f t="shared" si="72"/>
        <v>0</v>
      </c>
      <c r="O380" s="106">
        <v>0</v>
      </c>
      <c r="P380" s="106">
        <v>0</v>
      </c>
      <c r="Q380" s="107">
        <v>0</v>
      </c>
      <c r="R380" s="106">
        <v>0</v>
      </c>
      <c r="S380" s="182">
        <f t="shared" si="86"/>
        <v>0</v>
      </c>
    </row>
    <row r="381" spans="1:20" ht="15" customHeight="1" thickBot="1" x14ac:dyDescent="0.3">
      <c r="A381" s="56" t="s">
        <v>182</v>
      </c>
      <c r="B381" s="50"/>
      <c r="C381" s="123">
        <f t="shared" ref="C381:J381" si="88">SUM(C383:C389)</f>
        <v>8726.74</v>
      </c>
      <c r="D381" s="123">
        <f t="shared" si="88"/>
        <v>-408.98</v>
      </c>
      <c r="E381" s="124">
        <f t="shared" si="88"/>
        <v>239.58</v>
      </c>
      <c r="F381" s="123">
        <f t="shared" si="88"/>
        <v>8557.34</v>
      </c>
      <c r="G381" s="123">
        <f t="shared" si="88"/>
        <v>0</v>
      </c>
      <c r="H381" s="123">
        <f t="shared" si="88"/>
        <v>8557.34</v>
      </c>
      <c r="I381" s="123">
        <f t="shared" si="88"/>
        <v>-2174.8000000000002</v>
      </c>
      <c r="J381" s="123">
        <f t="shared" si="88"/>
        <v>-494.90999999999997</v>
      </c>
      <c r="K381" s="150">
        <f>SUM(K383:K389)</f>
        <v>5818.93</v>
      </c>
      <c r="L381" s="123">
        <f>SUM(L383:L389)</f>
        <v>0</v>
      </c>
      <c r="M381" s="124">
        <f>SUM(M383:M389)</f>
        <v>-30.25</v>
      </c>
      <c r="N381" s="123">
        <f t="shared" si="72"/>
        <v>5788.68</v>
      </c>
      <c r="O381" s="123">
        <f>SUM(O383:O389)</f>
        <v>0</v>
      </c>
      <c r="P381" s="123">
        <f>SUM(P383:P389)</f>
        <v>10</v>
      </c>
      <c r="Q381" s="124">
        <f>SUM(Q383:Q389)</f>
        <v>-2223.4</v>
      </c>
      <c r="R381" s="123">
        <f>SUM(R383:R389)</f>
        <v>-10</v>
      </c>
      <c r="S381" s="172">
        <f t="shared" si="86"/>
        <v>3565.28</v>
      </c>
      <c r="T381" s="122"/>
    </row>
    <row r="382" spans="1:20" ht="14.25" customHeight="1" x14ac:dyDescent="0.25">
      <c r="A382" s="57" t="s">
        <v>27</v>
      </c>
      <c r="B382" s="47"/>
      <c r="C382" s="16"/>
      <c r="D382" s="16"/>
      <c r="E382" s="82"/>
      <c r="F382" s="16"/>
      <c r="G382" s="16"/>
      <c r="H382" s="102"/>
      <c r="I382" s="102"/>
      <c r="J382" s="102"/>
      <c r="K382" s="144"/>
      <c r="L382" s="102"/>
      <c r="M382" s="103"/>
      <c r="N382" s="102"/>
      <c r="O382" s="102"/>
      <c r="P382" s="102"/>
      <c r="Q382" s="103"/>
      <c r="R382" s="102"/>
      <c r="S382" s="165"/>
    </row>
    <row r="383" spans="1:20" ht="25.5" customHeight="1" x14ac:dyDescent="0.25">
      <c r="A383" s="17" t="s">
        <v>239</v>
      </c>
      <c r="B383" s="63" t="s">
        <v>240</v>
      </c>
      <c r="C383" s="104">
        <v>5000</v>
      </c>
      <c r="D383" s="104">
        <v>0</v>
      </c>
      <c r="E383" s="105">
        <v>0</v>
      </c>
      <c r="F383" s="104">
        <f>SUM(C383:E383)</f>
        <v>5000</v>
      </c>
      <c r="G383" s="104">
        <v>0</v>
      </c>
      <c r="H383" s="104">
        <f t="shared" si="75"/>
        <v>5000</v>
      </c>
      <c r="I383" s="104">
        <v>-2234.8000000000002</v>
      </c>
      <c r="J383" s="104">
        <v>0</v>
      </c>
      <c r="K383" s="144">
        <f t="shared" si="79"/>
        <v>2765.2</v>
      </c>
      <c r="L383" s="104">
        <v>0</v>
      </c>
      <c r="M383" s="103">
        <v>0</v>
      </c>
      <c r="N383" s="102">
        <f t="shared" si="72"/>
        <v>2765.2</v>
      </c>
      <c r="O383" s="104">
        <v>0</v>
      </c>
      <c r="P383" s="104">
        <v>0</v>
      </c>
      <c r="Q383" s="105">
        <v>0</v>
      </c>
      <c r="R383" s="104">
        <v>0</v>
      </c>
      <c r="S383" s="173">
        <f t="shared" ref="S383:S390" si="89">SUM(N383:R383)</f>
        <v>2765.2</v>
      </c>
    </row>
    <row r="384" spans="1:20" ht="15" customHeight="1" x14ac:dyDescent="0.25">
      <c r="A384" s="54" t="s">
        <v>241</v>
      </c>
      <c r="B384" s="49"/>
      <c r="C384" s="104">
        <v>1000</v>
      </c>
      <c r="D384" s="104">
        <f>-408.98</f>
        <v>-408.98</v>
      </c>
      <c r="E384" s="105">
        <v>239.58</v>
      </c>
      <c r="F384" s="104">
        <f t="shared" ref="F384:F389" si="90">SUM(C384:E384)</f>
        <v>830.6</v>
      </c>
      <c r="G384" s="104">
        <v>0</v>
      </c>
      <c r="H384" s="104">
        <f t="shared" si="75"/>
        <v>830.6</v>
      </c>
      <c r="I384" s="104">
        <v>0</v>
      </c>
      <c r="J384" s="104">
        <f>-20.57</f>
        <v>-20.57</v>
      </c>
      <c r="K384" s="144">
        <f>SUM(H384:J384)-68.7</f>
        <v>741.32999999999993</v>
      </c>
      <c r="L384" s="104">
        <v>0</v>
      </c>
      <c r="M384" s="103">
        <f>-30.25</f>
        <v>-30.25</v>
      </c>
      <c r="N384" s="102">
        <f t="shared" si="72"/>
        <v>711.07999999999993</v>
      </c>
      <c r="O384" s="104">
        <v>0</v>
      </c>
      <c r="P384" s="104">
        <v>0</v>
      </c>
      <c r="Q384" s="105">
        <f>-211</f>
        <v>-211</v>
      </c>
      <c r="R384" s="104">
        <v>0</v>
      </c>
      <c r="S384" s="173">
        <f t="shared" si="89"/>
        <v>500.07999999999993</v>
      </c>
    </row>
    <row r="385" spans="1:20" ht="15" customHeight="1" x14ac:dyDescent="0.25">
      <c r="A385" s="54" t="s">
        <v>213</v>
      </c>
      <c r="B385" s="49"/>
      <c r="C385" s="104">
        <v>474.34</v>
      </c>
      <c r="D385" s="104">
        <v>0</v>
      </c>
      <c r="E385" s="105">
        <v>0</v>
      </c>
      <c r="F385" s="104">
        <f t="shared" si="90"/>
        <v>474.34</v>
      </c>
      <c r="G385" s="104">
        <v>0</v>
      </c>
      <c r="H385" s="104">
        <f t="shared" si="75"/>
        <v>474.34</v>
      </c>
      <c r="I385" s="104">
        <v>60</v>
      </c>
      <c r="J385" s="104">
        <f>-474.34</f>
        <v>-474.34</v>
      </c>
      <c r="K385" s="144">
        <f t="shared" si="79"/>
        <v>59.999999999999943</v>
      </c>
      <c r="L385" s="104">
        <v>0</v>
      </c>
      <c r="M385" s="103">
        <v>0</v>
      </c>
      <c r="N385" s="102">
        <f t="shared" si="72"/>
        <v>59.999999999999943</v>
      </c>
      <c r="O385" s="104">
        <v>0</v>
      </c>
      <c r="P385" s="104">
        <f>10</f>
        <v>10</v>
      </c>
      <c r="Q385" s="105">
        <v>0</v>
      </c>
      <c r="R385" s="104">
        <f>-10</f>
        <v>-10</v>
      </c>
      <c r="S385" s="173">
        <f t="shared" si="89"/>
        <v>59.999999999999943</v>
      </c>
    </row>
    <row r="386" spans="1:20" ht="37.5" customHeight="1" x14ac:dyDescent="0.25">
      <c r="A386" s="17" t="s">
        <v>242</v>
      </c>
      <c r="B386" s="53" t="s">
        <v>193</v>
      </c>
      <c r="C386" s="104">
        <v>2012.4</v>
      </c>
      <c r="D386" s="104">
        <v>0</v>
      </c>
      <c r="E386" s="105">
        <v>0</v>
      </c>
      <c r="F386" s="104">
        <f t="shared" si="90"/>
        <v>2012.4</v>
      </c>
      <c r="G386" s="104">
        <v>0</v>
      </c>
      <c r="H386" s="104">
        <f t="shared" si="75"/>
        <v>2012.4</v>
      </c>
      <c r="I386" s="104">
        <v>0</v>
      </c>
      <c r="J386" s="104">
        <v>0</v>
      </c>
      <c r="K386" s="144">
        <f t="shared" si="79"/>
        <v>2012.4</v>
      </c>
      <c r="L386" s="104">
        <v>0</v>
      </c>
      <c r="M386" s="103">
        <v>0</v>
      </c>
      <c r="N386" s="102">
        <f t="shared" si="72"/>
        <v>2012.4</v>
      </c>
      <c r="O386" s="104">
        <v>0</v>
      </c>
      <c r="P386" s="104">
        <v>0</v>
      </c>
      <c r="Q386" s="105">
        <f>-2012.4</f>
        <v>-2012.4</v>
      </c>
      <c r="R386" s="104">
        <v>0</v>
      </c>
      <c r="S386" s="173">
        <f t="shared" si="89"/>
        <v>0</v>
      </c>
    </row>
    <row r="387" spans="1:20" ht="26.25" customHeight="1" x14ac:dyDescent="0.25">
      <c r="A387" s="17" t="s">
        <v>243</v>
      </c>
      <c r="B387" s="49"/>
      <c r="C387" s="104">
        <v>90</v>
      </c>
      <c r="D387" s="104">
        <v>0</v>
      </c>
      <c r="E387" s="105">
        <v>0</v>
      </c>
      <c r="F387" s="104">
        <f t="shared" si="90"/>
        <v>90</v>
      </c>
      <c r="G387" s="104">
        <v>0</v>
      </c>
      <c r="H387" s="104">
        <f t="shared" si="75"/>
        <v>90</v>
      </c>
      <c r="I387" s="104">
        <v>0</v>
      </c>
      <c r="J387" s="104">
        <v>0</v>
      </c>
      <c r="K387" s="144">
        <f t="shared" si="79"/>
        <v>90</v>
      </c>
      <c r="L387" s="104">
        <v>0</v>
      </c>
      <c r="M387" s="103">
        <v>0</v>
      </c>
      <c r="N387" s="102">
        <f t="shared" si="72"/>
        <v>90</v>
      </c>
      <c r="O387" s="104">
        <v>0</v>
      </c>
      <c r="P387" s="104">
        <v>0</v>
      </c>
      <c r="Q387" s="105">
        <v>0</v>
      </c>
      <c r="R387" s="104">
        <v>0</v>
      </c>
      <c r="S387" s="173">
        <f t="shared" si="89"/>
        <v>90</v>
      </c>
    </row>
    <row r="388" spans="1:20" ht="26.25" customHeight="1" x14ac:dyDescent="0.25">
      <c r="A388" s="17" t="s">
        <v>244</v>
      </c>
      <c r="B388" s="49"/>
      <c r="C388" s="104">
        <v>150</v>
      </c>
      <c r="D388" s="104">
        <v>0</v>
      </c>
      <c r="E388" s="105">
        <v>0</v>
      </c>
      <c r="F388" s="104">
        <f t="shared" si="90"/>
        <v>150</v>
      </c>
      <c r="G388" s="104">
        <v>0</v>
      </c>
      <c r="H388" s="104">
        <f t="shared" si="75"/>
        <v>150</v>
      </c>
      <c r="I388" s="104">
        <v>0</v>
      </c>
      <c r="J388" s="104">
        <v>0</v>
      </c>
      <c r="K388" s="144">
        <f t="shared" si="79"/>
        <v>150</v>
      </c>
      <c r="L388" s="104">
        <v>0</v>
      </c>
      <c r="M388" s="103">
        <v>0</v>
      </c>
      <c r="N388" s="102">
        <f t="shared" si="72"/>
        <v>150</v>
      </c>
      <c r="O388" s="104">
        <v>0</v>
      </c>
      <c r="P388" s="104">
        <v>0</v>
      </c>
      <c r="Q388" s="105">
        <v>0</v>
      </c>
      <c r="R388" s="104">
        <v>0</v>
      </c>
      <c r="S388" s="173">
        <f t="shared" si="89"/>
        <v>150</v>
      </c>
    </row>
    <row r="389" spans="1:20" ht="27" customHeight="1" thickBot="1" x14ac:dyDescent="0.3">
      <c r="A389" s="20" t="s">
        <v>245</v>
      </c>
      <c r="B389" s="45"/>
      <c r="C389" s="210">
        <v>0</v>
      </c>
      <c r="D389" s="210">
        <v>0</v>
      </c>
      <c r="E389" s="107">
        <v>0</v>
      </c>
      <c r="F389" s="106">
        <f t="shared" si="90"/>
        <v>0</v>
      </c>
      <c r="G389" s="106">
        <v>0</v>
      </c>
      <c r="H389" s="106">
        <f t="shared" si="75"/>
        <v>0</v>
      </c>
      <c r="I389" s="106">
        <v>0</v>
      </c>
      <c r="J389" s="106">
        <v>0</v>
      </c>
      <c r="K389" s="113">
        <f t="shared" si="79"/>
        <v>0</v>
      </c>
      <c r="L389" s="106">
        <v>0</v>
      </c>
      <c r="M389" s="107">
        <v>0</v>
      </c>
      <c r="N389" s="106">
        <f t="shared" si="72"/>
        <v>0</v>
      </c>
      <c r="O389" s="106">
        <v>0</v>
      </c>
      <c r="P389" s="106">
        <v>0</v>
      </c>
      <c r="Q389" s="107">
        <v>0</v>
      </c>
      <c r="R389" s="106">
        <v>0</v>
      </c>
      <c r="S389" s="182">
        <f t="shared" si="89"/>
        <v>0</v>
      </c>
    </row>
    <row r="390" spans="1:20" ht="14.25" customHeight="1" thickBot="1" x14ac:dyDescent="0.3">
      <c r="A390" s="69" t="s">
        <v>203</v>
      </c>
      <c r="B390" s="46"/>
      <c r="C390" s="123">
        <f>SUM(C392:C392)</f>
        <v>900</v>
      </c>
      <c r="D390" s="123">
        <f t="shared" ref="D390:J390" si="91">SUM(D392)</f>
        <v>0</v>
      </c>
      <c r="E390" s="124">
        <f t="shared" si="91"/>
        <v>0</v>
      </c>
      <c r="F390" s="123">
        <f t="shared" si="91"/>
        <v>900</v>
      </c>
      <c r="G390" s="123">
        <f t="shared" si="91"/>
        <v>0</v>
      </c>
      <c r="H390" s="123">
        <f t="shared" si="91"/>
        <v>900</v>
      </c>
      <c r="I390" s="123">
        <f t="shared" si="91"/>
        <v>0</v>
      </c>
      <c r="J390" s="123">
        <f t="shared" si="91"/>
        <v>0</v>
      </c>
      <c r="K390" s="150">
        <f t="shared" si="79"/>
        <v>900</v>
      </c>
      <c r="L390" s="123">
        <f>SUM(L392)</f>
        <v>0</v>
      </c>
      <c r="M390" s="124">
        <f>SUM(M392)</f>
        <v>0</v>
      </c>
      <c r="N390" s="123">
        <f t="shared" si="72"/>
        <v>900</v>
      </c>
      <c r="O390" s="123">
        <f>SUM(O392)</f>
        <v>0</v>
      </c>
      <c r="P390" s="123">
        <f>SUM(P392)</f>
        <v>0</v>
      </c>
      <c r="Q390" s="124">
        <f>SUM(Q392)</f>
        <v>0</v>
      </c>
      <c r="R390" s="123">
        <f>SUM(R392)</f>
        <v>0</v>
      </c>
      <c r="S390" s="172">
        <f t="shared" si="89"/>
        <v>900</v>
      </c>
      <c r="T390" s="122"/>
    </row>
    <row r="391" spans="1:20" ht="14.25" customHeight="1" x14ac:dyDescent="0.25">
      <c r="A391" s="57" t="s">
        <v>27</v>
      </c>
      <c r="B391" s="47"/>
      <c r="C391" s="16"/>
      <c r="D391" s="16"/>
      <c r="E391" s="82"/>
      <c r="F391" s="16"/>
      <c r="G391" s="16"/>
      <c r="H391" s="102"/>
      <c r="I391" s="102"/>
      <c r="J391" s="102"/>
      <c r="K391" s="144"/>
      <c r="L391" s="102"/>
      <c r="M391" s="103"/>
      <c r="N391" s="102"/>
      <c r="O391" s="102"/>
      <c r="P391" s="102"/>
      <c r="Q391" s="103"/>
      <c r="R391" s="102"/>
      <c r="S391" s="165"/>
    </row>
    <row r="392" spans="1:20" ht="15.75" customHeight="1" thickBot="1" x14ac:dyDescent="0.3">
      <c r="A392" s="55" t="s">
        <v>213</v>
      </c>
      <c r="B392" s="45"/>
      <c r="C392" s="22">
        <v>900</v>
      </c>
      <c r="D392" s="22">
        <v>0</v>
      </c>
      <c r="E392" s="84">
        <v>0</v>
      </c>
      <c r="F392" s="22">
        <f>SUM(C392:E392)</f>
        <v>900</v>
      </c>
      <c r="G392" s="22">
        <v>0</v>
      </c>
      <c r="H392" s="106">
        <f t="shared" si="75"/>
        <v>900</v>
      </c>
      <c r="I392" s="106">
        <v>0</v>
      </c>
      <c r="J392" s="106">
        <v>0</v>
      </c>
      <c r="K392" s="228">
        <f t="shared" si="79"/>
        <v>900</v>
      </c>
      <c r="L392" s="106">
        <v>0</v>
      </c>
      <c r="M392" s="137">
        <v>0</v>
      </c>
      <c r="N392" s="108">
        <f t="shared" ref="N392:N416" si="92">SUM(K392:M392)</f>
        <v>900</v>
      </c>
      <c r="O392" s="106">
        <v>0</v>
      </c>
      <c r="P392" s="106">
        <v>0</v>
      </c>
      <c r="Q392" s="107">
        <v>0</v>
      </c>
      <c r="R392" s="106">
        <v>0</v>
      </c>
      <c r="S392" s="182">
        <f>SUM(N392:R392)</f>
        <v>900</v>
      </c>
    </row>
    <row r="393" spans="1:20" ht="15.75" customHeight="1" thickBot="1" x14ac:dyDescent="0.3">
      <c r="A393" s="56" t="s">
        <v>205</v>
      </c>
      <c r="B393" s="50"/>
      <c r="C393" s="42">
        <f>SUM(C395:C395)</f>
        <v>23254</v>
      </c>
      <c r="D393" s="42">
        <f t="shared" ref="D393:J393" si="93">SUM(D395)</f>
        <v>-8108.52</v>
      </c>
      <c r="E393" s="88">
        <f t="shared" si="93"/>
        <v>12735</v>
      </c>
      <c r="F393" s="42">
        <f t="shared" si="93"/>
        <v>27880.48</v>
      </c>
      <c r="G393" s="72">
        <f t="shared" si="93"/>
        <v>1218</v>
      </c>
      <c r="H393" s="42">
        <f t="shared" si="93"/>
        <v>29098.48</v>
      </c>
      <c r="I393" s="42">
        <f t="shared" si="93"/>
        <v>4000</v>
      </c>
      <c r="J393" s="42">
        <f t="shared" si="93"/>
        <v>0</v>
      </c>
      <c r="K393" s="150">
        <f>SUM(K395)</f>
        <v>33098.14</v>
      </c>
      <c r="L393" s="123">
        <f>SUM(L395)</f>
        <v>0</v>
      </c>
      <c r="M393" s="124">
        <f>SUM(M395)</f>
        <v>-336.3</v>
      </c>
      <c r="N393" s="123">
        <f t="shared" si="92"/>
        <v>32761.84</v>
      </c>
      <c r="O393" s="123">
        <f>SUM(O395)</f>
        <v>0</v>
      </c>
      <c r="P393" s="123">
        <f>SUM(P395)</f>
        <v>688</v>
      </c>
      <c r="Q393" s="124">
        <f>SUM(Q395)</f>
        <v>-21583.5</v>
      </c>
      <c r="R393" s="123">
        <f>SUM(R395)</f>
        <v>23.7</v>
      </c>
      <c r="S393" s="172">
        <f>SUM(N393:R393)</f>
        <v>11890.039999999997</v>
      </c>
      <c r="T393" s="122"/>
    </row>
    <row r="394" spans="1:20" ht="14.25" customHeight="1" x14ac:dyDescent="0.25">
      <c r="A394" s="57" t="s">
        <v>27</v>
      </c>
      <c r="B394" s="47"/>
      <c r="C394" s="16"/>
      <c r="D394" s="16"/>
      <c r="E394" s="82"/>
      <c r="F394" s="16"/>
      <c r="G394" s="16"/>
      <c r="H394" s="102"/>
      <c r="I394" s="102"/>
      <c r="J394" s="102"/>
      <c r="K394" s="144"/>
      <c r="L394" s="102"/>
      <c r="M394" s="103"/>
      <c r="N394" s="102"/>
      <c r="O394" s="102"/>
      <c r="P394" s="102"/>
      <c r="Q394" s="103"/>
      <c r="R394" s="102"/>
      <c r="S394" s="165"/>
    </row>
    <row r="395" spans="1:20" ht="18" customHeight="1" thickBot="1" x14ac:dyDescent="0.3">
      <c r="A395" s="55" t="s">
        <v>213</v>
      </c>
      <c r="B395" s="45"/>
      <c r="C395" s="22">
        <v>23254</v>
      </c>
      <c r="D395" s="22">
        <f>-5210.92-2944+46.4</f>
        <v>-8108.52</v>
      </c>
      <c r="E395" s="84">
        <v>12735</v>
      </c>
      <c r="F395" s="22">
        <f>SUM(C395:E395)</f>
        <v>27880.48</v>
      </c>
      <c r="G395" s="22">
        <f>1218</f>
        <v>1218</v>
      </c>
      <c r="H395" s="106">
        <f t="shared" si="75"/>
        <v>29098.48</v>
      </c>
      <c r="I395" s="106">
        <v>4000</v>
      </c>
      <c r="J395" s="106">
        <v>0</v>
      </c>
      <c r="K395" s="228">
        <f>SUM(H395:J395)-0.34</f>
        <v>33098.14</v>
      </c>
      <c r="L395" s="106">
        <v>0</v>
      </c>
      <c r="M395" s="137">
        <f>-336.3</f>
        <v>-336.3</v>
      </c>
      <c r="N395" s="108">
        <f t="shared" si="92"/>
        <v>32761.84</v>
      </c>
      <c r="O395" s="106">
        <v>0</v>
      </c>
      <c r="P395" s="106">
        <f>688</f>
        <v>688</v>
      </c>
      <c r="Q395" s="107">
        <f>-21583.5</f>
        <v>-21583.5</v>
      </c>
      <c r="R395" s="106">
        <f>23.7</f>
        <v>23.7</v>
      </c>
      <c r="S395" s="182">
        <f>SUM(N395:R395)</f>
        <v>11890.039999999997</v>
      </c>
    </row>
    <row r="396" spans="1:20" ht="26.25" customHeight="1" thickBot="1" x14ac:dyDescent="0.3">
      <c r="A396" s="65" t="s">
        <v>207</v>
      </c>
      <c r="B396" s="50"/>
      <c r="C396" s="123">
        <f t="shared" ref="C396:J396" si="94">SUM(C398:C399)</f>
        <v>900</v>
      </c>
      <c r="D396" s="123">
        <f t="shared" si="94"/>
        <v>0</v>
      </c>
      <c r="E396" s="124">
        <f t="shared" si="94"/>
        <v>1200</v>
      </c>
      <c r="F396" s="123">
        <f t="shared" si="94"/>
        <v>2100</v>
      </c>
      <c r="G396" s="123">
        <f t="shared" si="94"/>
        <v>0</v>
      </c>
      <c r="H396" s="123">
        <f t="shared" si="94"/>
        <v>2100</v>
      </c>
      <c r="I396" s="123">
        <f t="shared" si="94"/>
        <v>0</v>
      </c>
      <c r="J396" s="123">
        <f t="shared" si="94"/>
        <v>-314.57</v>
      </c>
      <c r="K396" s="150">
        <f t="shared" si="79"/>
        <v>1785.43</v>
      </c>
      <c r="L396" s="123">
        <f>SUM(L398:L399)</f>
        <v>0</v>
      </c>
      <c r="M396" s="124">
        <f>SUM(M398:M399)</f>
        <v>0</v>
      </c>
      <c r="N396" s="123">
        <f t="shared" si="92"/>
        <v>1785.43</v>
      </c>
      <c r="O396" s="123">
        <f>SUM(O398:O399)</f>
        <v>0</v>
      </c>
      <c r="P396" s="123">
        <f>SUM(P398:P399)</f>
        <v>0</v>
      </c>
      <c r="Q396" s="124">
        <f>SUM(Q398:Q399)</f>
        <v>0</v>
      </c>
      <c r="R396" s="123">
        <f>SUM(R398:R399)</f>
        <v>0</v>
      </c>
      <c r="S396" s="172">
        <f>SUM(N396:R396)</f>
        <v>1785.43</v>
      </c>
      <c r="T396" s="122"/>
    </row>
    <row r="397" spans="1:20" ht="16.5" customHeight="1" x14ac:dyDescent="0.25">
      <c r="A397" s="57" t="s">
        <v>27</v>
      </c>
      <c r="B397" s="47"/>
      <c r="C397" s="16"/>
      <c r="D397" s="16"/>
      <c r="E397" s="82"/>
      <c r="F397" s="16"/>
      <c r="G397" s="16"/>
      <c r="H397" s="102"/>
      <c r="I397" s="102"/>
      <c r="J397" s="102"/>
      <c r="K397" s="144"/>
      <c r="L397" s="102"/>
      <c r="M397" s="103"/>
      <c r="N397" s="102"/>
      <c r="O397" s="102"/>
      <c r="P397" s="102"/>
      <c r="Q397" s="103"/>
      <c r="R397" s="102"/>
      <c r="S397" s="165"/>
    </row>
    <row r="398" spans="1:20" ht="17.25" customHeight="1" x14ac:dyDescent="0.25">
      <c r="A398" s="54" t="s">
        <v>213</v>
      </c>
      <c r="B398" s="49"/>
      <c r="C398" s="104">
        <v>0</v>
      </c>
      <c r="D398" s="104">
        <v>0</v>
      </c>
      <c r="E398" s="105">
        <v>1200</v>
      </c>
      <c r="F398" s="104">
        <f>SUM(C398:E398)</f>
        <v>1200</v>
      </c>
      <c r="G398" s="104">
        <v>0</v>
      </c>
      <c r="H398" s="104">
        <f t="shared" si="75"/>
        <v>1200</v>
      </c>
      <c r="I398" s="104">
        <v>0</v>
      </c>
      <c r="J398" s="104">
        <f>-314.57</f>
        <v>-314.57</v>
      </c>
      <c r="K398" s="144">
        <f t="shared" si="79"/>
        <v>885.43000000000006</v>
      </c>
      <c r="L398" s="104">
        <v>0</v>
      </c>
      <c r="M398" s="103">
        <v>0</v>
      </c>
      <c r="N398" s="102">
        <f t="shared" si="92"/>
        <v>885.43000000000006</v>
      </c>
      <c r="O398" s="104">
        <v>0</v>
      </c>
      <c r="P398" s="104">
        <v>0</v>
      </c>
      <c r="Q398" s="105">
        <v>0</v>
      </c>
      <c r="R398" s="104">
        <v>0</v>
      </c>
      <c r="S398" s="173">
        <f>SUM(N398:R398)</f>
        <v>885.43000000000006</v>
      </c>
    </row>
    <row r="399" spans="1:20" ht="41.25" customHeight="1" thickBot="1" x14ac:dyDescent="0.3">
      <c r="A399" s="183" t="s">
        <v>246</v>
      </c>
      <c r="B399" s="100" t="s">
        <v>36</v>
      </c>
      <c r="C399" s="106">
        <v>900</v>
      </c>
      <c r="D399" s="106">
        <v>0</v>
      </c>
      <c r="E399" s="107">
        <v>0</v>
      </c>
      <c r="F399" s="106">
        <f>SUM(C399:E399)</f>
        <v>900</v>
      </c>
      <c r="G399" s="106">
        <v>0</v>
      </c>
      <c r="H399" s="106">
        <f t="shared" si="75"/>
        <v>900</v>
      </c>
      <c r="I399" s="106">
        <v>0</v>
      </c>
      <c r="J399" s="106">
        <v>0</v>
      </c>
      <c r="K399" s="113">
        <f t="shared" si="79"/>
        <v>900</v>
      </c>
      <c r="L399" s="106">
        <v>0</v>
      </c>
      <c r="M399" s="107">
        <v>0</v>
      </c>
      <c r="N399" s="106">
        <f t="shared" si="92"/>
        <v>900</v>
      </c>
      <c r="O399" s="106">
        <v>0</v>
      </c>
      <c r="P399" s="106">
        <v>0</v>
      </c>
      <c r="Q399" s="107">
        <v>0</v>
      </c>
      <c r="R399" s="106">
        <v>0</v>
      </c>
      <c r="S399" s="182">
        <f>SUM(N399:R399)</f>
        <v>900</v>
      </c>
    </row>
    <row r="400" spans="1:20" ht="17.25" customHeight="1" thickBot="1" x14ac:dyDescent="0.3">
      <c r="A400" s="66" t="s">
        <v>247</v>
      </c>
      <c r="B400" s="67"/>
      <c r="C400" s="128">
        <f t="shared" ref="C400:H400" si="95">SUM(C307+C310+C315+C325+C330+C334+C355+C359+C368+C374+C381+C390+C393+C396)</f>
        <v>532078.65</v>
      </c>
      <c r="D400" s="128">
        <f t="shared" si="95"/>
        <v>-4251.8099999999995</v>
      </c>
      <c r="E400" s="128">
        <f t="shared" si="95"/>
        <v>213549.84999999998</v>
      </c>
      <c r="F400" s="128">
        <f t="shared" si="95"/>
        <v>741376.69</v>
      </c>
      <c r="G400" s="128">
        <f t="shared" si="95"/>
        <v>3180.4599999999991</v>
      </c>
      <c r="H400" s="128">
        <f t="shared" si="95"/>
        <v>744193.45</v>
      </c>
      <c r="I400" s="128">
        <f>I307+I310+I315+I325+I330+I334+I355+I359+I368+I374+I381+I390+I393+I396</f>
        <v>31507.52</v>
      </c>
      <c r="J400" s="128">
        <f>SUM(J307+J310+J315+J325+J330+J334+J355+J359+J368+J374+J381+J390+J393+J396)</f>
        <v>10506.02</v>
      </c>
      <c r="K400" s="151">
        <f>SUM(K307+K310+K315+K325+K330+K334+K355+K359+K368+K374+K381+K390+K393+K396)</f>
        <v>786371.4800000001</v>
      </c>
      <c r="L400" s="128">
        <f>SUM(L307+L310+L315+L325+L330+L334+L355+L359+L368+L374+L381+L390+L393+L396)</f>
        <v>4299</v>
      </c>
      <c r="M400" s="180">
        <f>SUM(M307+M310+M315+M325+M330+M334+M355+M359+M368+M374+M381+M390+M393+M396)</f>
        <v>580.45000000000005</v>
      </c>
      <c r="N400" s="128">
        <f t="shared" si="92"/>
        <v>791250.93</v>
      </c>
      <c r="O400" s="128">
        <f>SUM(O307+O310+O315+O325+O330+O334+O355+O359+O368+O374+O381+O390+O393+O396)</f>
        <v>0</v>
      </c>
      <c r="P400" s="128">
        <f>SUM(P307+P310+P315+P325+P330+P334+P355+P359+P368+P374+P381+P390+P393+P396)</f>
        <v>2543.39</v>
      </c>
      <c r="Q400" s="180">
        <f>SUM(Q307+Q310+Q315+Q325+Q330+Q334+Q355+Q359+Q368+Q374+Q381+Q390+Q393+Q396)</f>
        <v>-455215.08000000007</v>
      </c>
      <c r="R400" s="128">
        <f>SUM(R307+R310+R315+R325+R330+R334+R355+R359+R368+R374+R381+R390+R393+R396)</f>
        <v>-9.3000000000000007</v>
      </c>
      <c r="S400" s="174">
        <f>SUM(N400:R400)</f>
        <v>338569.94</v>
      </c>
      <c r="T400" s="122"/>
    </row>
    <row r="401" spans="1:20" ht="18" customHeight="1" thickBot="1" x14ac:dyDescent="0.3">
      <c r="A401" s="159" t="s">
        <v>248</v>
      </c>
      <c r="B401" s="160"/>
      <c r="C401" s="128">
        <f>C304+C400</f>
        <v>2085807.56</v>
      </c>
      <c r="D401" s="128">
        <f>SUM(D304+D400)</f>
        <v>1835.6200000000008</v>
      </c>
      <c r="E401" s="128">
        <f>SUM(E304+E400)</f>
        <v>272356.37</v>
      </c>
      <c r="F401" s="128">
        <f>SUM(C401:E401)</f>
        <v>2359999.5500000003</v>
      </c>
      <c r="G401" s="128">
        <f>SUM(G304+G400)</f>
        <v>60640.1</v>
      </c>
      <c r="H401" s="128">
        <f>SUM(H304+H400)</f>
        <v>2424642.69</v>
      </c>
      <c r="I401" s="128">
        <f>I304+I400</f>
        <v>48604</v>
      </c>
      <c r="J401" s="128">
        <f>SUM(J304+J400)</f>
        <v>33103.959999999992</v>
      </c>
      <c r="K401" s="151">
        <f>SUM(K304+K400)</f>
        <v>2507372.62</v>
      </c>
      <c r="L401" s="128">
        <f>SUM(L304+L400)</f>
        <v>19006.660000000003</v>
      </c>
      <c r="M401" s="180">
        <f>SUM(M304+M400)</f>
        <v>2504.73</v>
      </c>
      <c r="N401" s="128">
        <f t="shared" si="92"/>
        <v>2528884.0100000002</v>
      </c>
      <c r="O401" s="128">
        <f>SUM(O304+O400)</f>
        <v>0</v>
      </c>
      <c r="P401" s="128">
        <f>SUM(P304+P400)</f>
        <v>7119.3099999999995</v>
      </c>
      <c r="Q401" s="180">
        <f>SUM(Q304+Q400)</f>
        <v>-495369.82000000007</v>
      </c>
      <c r="R401" s="128">
        <f>SUM(R304+R400)</f>
        <v>393.09</v>
      </c>
      <c r="S401" s="174">
        <f>SUM(N401:R401)</f>
        <v>2041026.5900000003</v>
      </c>
      <c r="T401" s="122"/>
    </row>
    <row r="402" spans="1:20" ht="12.75" customHeight="1" thickBot="1" x14ac:dyDescent="0.3">
      <c r="A402" s="132"/>
      <c r="B402" s="101"/>
      <c r="C402" s="133"/>
      <c r="D402" s="133"/>
      <c r="E402" s="85"/>
      <c r="F402" s="27"/>
      <c r="G402" s="27"/>
      <c r="H402" s="108"/>
      <c r="I402" s="108"/>
      <c r="J402" s="108"/>
      <c r="K402" s="228"/>
      <c r="L402" s="108"/>
      <c r="M402" s="137"/>
      <c r="N402" s="108"/>
      <c r="O402" s="108"/>
      <c r="P402" s="108"/>
      <c r="Q402" s="137"/>
      <c r="R402" s="108"/>
      <c r="S402" s="166"/>
    </row>
    <row r="403" spans="1:20" ht="27.75" customHeight="1" thickBot="1" x14ac:dyDescent="0.3">
      <c r="A403" s="28" t="s">
        <v>249</v>
      </c>
      <c r="B403" s="75"/>
      <c r="C403" s="30"/>
      <c r="D403" s="30"/>
      <c r="E403" s="86"/>
      <c r="F403" s="30"/>
      <c r="G403" s="30"/>
      <c r="H403" s="121"/>
      <c r="I403" s="121"/>
      <c r="J403" s="121"/>
      <c r="K403" s="146"/>
      <c r="L403" s="121"/>
      <c r="M403" s="178"/>
      <c r="N403" s="121"/>
      <c r="O403" s="121"/>
      <c r="P403" s="121"/>
      <c r="Q403" s="178"/>
      <c r="R403" s="121"/>
      <c r="S403" s="168"/>
    </row>
    <row r="404" spans="1:20" ht="15" customHeight="1" x14ac:dyDescent="0.25">
      <c r="A404" s="14" t="s">
        <v>250</v>
      </c>
      <c r="B404" s="47"/>
      <c r="C404" s="102">
        <v>12000</v>
      </c>
      <c r="D404" s="102">
        <v>0</v>
      </c>
      <c r="E404" s="103">
        <v>204</v>
      </c>
      <c r="F404" s="102">
        <f>SUM(C404:E404)</f>
        <v>12204</v>
      </c>
      <c r="G404" s="102">
        <v>0</v>
      </c>
      <c r="H404" s="102">
        <f t="shared" ref="H404:H410" si="96">SUM(F404:G404)</f>
        <v>12204</v>
      </c>
      <c r="I404" s="102">
        <v>0</v>
      </c>
      <c r="J404" s="102">
        <v>0</v>
      </c>
      <c r="K404" s="144">
        <f t="shared" si="79"/>
        <v>12204</v>
      </c>
      <c r="L404" s="102">
        <v>0</v>
      </c>
      <c r="M404" s="103">
        <v>0</v>
      </c>
      <c r="N404" s="102">
        <f t="shared" si="92"/>
        <v>12204</v>
      </c>
      <c r="O404" s="102">
        <v>0</v>
      </c>
      <c r="P404" s="102">
        <v>0</v>
      </c>
      <c r="Q404" s="103">
        <v>0</v>
      </c>
      <c r="R404" s="102">
        <v>0</v>
      </c>
      <c r="S404" s="165">
        <f t="shared" ref="S404:S412" si="97">SUM(N404:R404)</f>
        <v>12204</v>
      </c>
    </row>
    <row r="405" spans="1:20" ht="27" customHeight="1" x14ac:dyDescent="0.25">
      <c r="A405" s="17" t="s">
        <v>251</v>
      </c>
      <c r="B405" s="49"/>
      <c r="C405" s="104">
        <v>0</v>
      </c>
      <c r="D405" s="104">
        <v>0</v>
      </c>
      <c r="E405" s="105">
        <v>0</v>
      </c>
      <c r="F405" s="102">
        <f t="shared" ref="F405:F410" si="98">SUM(C405:E405)</f>
        <v>0</v>
      </c>
      <c r="G405" s="104">
        <v>0</v>
      </c>
      <c r="H405" s="104">
        <f t="shared" si="96"/>
        <v>0</v>
      </c>
      <c r="I405" s="104">
        <v>0</v>
      </c>
      <c r="J405" s="102">
        <v>0</v>
      </c>
      <c r="K405" s="144">
        <f t="shared" si="79"/>
        <v>0</v>
      </c>
      <c r="L405" s="104">
        <v>0</v>
      </c>
      <c r="M405" s="103">
        <v>0</v>
      </c>
      <c r="N405" s="102">
        <f t="shared" si="92"/>
        <v>0</v>
      </c>
      <c r="O405" s="104">
        <v>0</v>
      </c>
      <c r="P405" s="104">
        <v>0</v>
      </c>
      <c r="Q405" s="105">
        <v>0</v>
      </c>
      <c r="R405" s="104">
        <v>0</v>
      </c>
      <c r="S405" s="173">
        <f t="shared" si="97"/>
        <v>0</v>
      </c>
    </row>
    <row r="406" spans="1:20" ht="26.25" customHeight="1" x14ac:dyDescent="0.25">
      <c r="A406" s="17" t="s">
        <v>252</v>
      </c>
      <c r="B406" s="49"/>
      <c r="C406" s="104">
        <v>0</v>
      </c>
      <c r="D406" s="104">
        <v>0</v>
      </c>
      <c r="E406" s="105">
        <v>0</v>
      </c>
      <c r="F406" s="102">
        <f t="shared" si="98"/>
        <v>0</v>
      </c>
      <c r="G406" s="104">
        <v>0</v>
      </c>
      <c r="H406" s="104">
        <f t="shared" si="96"/>
        <v>0</v>
      </c>
      <c r="I406" s="104">
        <v>0</v>
      </c>
      <c r="J406" s="102">
        <v>0</v>
      </c>
      <c r="K406" s="144">
        <f t="shared" si="79"/>
        <v>0</v>
      </c>
      <c r="L406" s="104">
        <v>0</v>
      </c>
      <c r="M406" s="103">
        <v>0</v>
      </c>
      <c r="N406" s="102">
        <f t="shared" si="92"/>
        <v>0</v>
      </c>
      <c r="O406" s="104">
        <v>0</v>
      </c>
      <c r="P406" s="104">
        <v>0</v>
      </c>
      <c r="Q406" s="105">
        <v>0</v>
      </c>
      <c r="R406" s="104">
        <v>0</v>
      </c>
      <c r="S406" s="173">
        <f t="shared" si="97"/>
        <v>0</v>
      </c>
    </row>
    <row r="407" spans="1:20" ht="15" customHeight="1" x14ac:dyDescent="0.25">
      <c r="A407" s="17" t="s">
        <v>253</v>
      </c>
      <c r="B407" s="49"/>
      <c r="C407" s="104">
        <v>2859</v>
      </c>
      <c r="D407" s="104">
        <v>0</v>
      </c>
      <c r="E407" s="105">
        <v>0</v>
      </c>
      <c r="F407" s="102">
        <f t="shared" si="98"/>
        <v>2859</v>
      </c>
      <c r="G407" s="104">
        <v>0</v>
      </c>
      <c r="H407" s="104">
        <f t="shared" si="96"/>
        <v>2859</v>
      </c>
      <c r="I407" s="104">
        <v>0</v>
      </c>
      <c r="J407" s="102">
        <v>0</v>
      </c>
      <c r="K407" s="144">
        <f t="shared" si="79"/>
        <v>2859</v>
      </c>
      <c r="L407" s="104">
        <v>0</v>
      </c>
      <c r="M407" s="103">
        <v>0</v>
      </c>
      <c r="N407" s="102">
        <f>SUM(K407:M407)</f>
        <v>2859</v>
      </c>
      <c r="O407" s="104">
        <v>0</v>
      </c>
      <c r="P407" s="104">
        <v>0</v>
      </c>
      <c r="Q407" s="105">
        <v>0</v>
      </c>
      <c r="R407" s="104">
        <v>0</v>
      </c>
      <c r="S407" s="173">
        <f t="shared" si="97"/>
        <v>2859</v>
      </c>
    </row>
    <row r="408" spans="1:20" ht="15" customHeight="1" x14ac:dyDescent="0.25">
      <c r="A408" s="17" t="s">
        <v>254</v>
      </c>
      <c r="B408" s="49"/>
      <c r="C408" s="104">
        <v>0</v>
      </c>
      <c r="D408" s="104">
        <v>0</v>
      </c>
      <c r="E408" s="105">
        <v>0</v>
      </c>
      <c r="F408" s="102">
        <f t="shared" si="98"/>
        <v>0</v>
      </c>
      <c r="G408" s="104">
        <v>0</v>
      </c>
      <c r="H408" s="104">
        <f t="shared" si="96"/>
        <v>0</v>
      </c>
      <c r="I408" s="104">
        <v>0</v>
      </c>
      <c r="J408" s="102">
        <v>0</v>
      </c>
      <c r="K408" s="144">
        <f t="shared" si="79"/>
        <v>0</v>
      </c>
      <c r="L408" s="104">
        <v>0</v>
      </c>
      <c r="M408" s="103">
        <v>0</v>
      </c>
      <c r="N408" s="102">
        <f t="shared" si="92"/>
        <v>0</v>
      </c>
      <c r="O408" s="104">
        <v>0</v>
      </c>
      <c r="P408" s="104">
        <v>0</v>
      </c>
      <c r="Q408" s="105">
        <f>518930.57</f>
        <v>518930.57</v>
      </c>
      <c r="R408" s="104">
        <v>0</v>
      </c>
      <c r="S408" s="173">
        <f t="shared" si="97"/>
        <v>518930.57</v>
      </c>
    </row>
    <row r="409" spans="1:20" ht="15" customHeight="1" x14ac:dyDescent="0.25">
      <c r="A409" s="17" t="s">
        <v>255</v>
      </c>
      <c r="B409" s="49"/>
      <c r="C409" s="104">
        <v>0</v>
      </c>
      <c r="D409" s="104">
        <v>0</v>
      </c>
      <c r="E409" s="105">
        <v>0</v>
      </c>
      <c r="F409" s="102">
        <f t="shared" si="98"/>
        <v>0</v>
      </c>
      <c r="G409" s="104">
        <v>0</v>
      </c>
      <c r="H409" s="104">
        <f t="shared" si="96"/>
        <v>0</v>
      </c>
      <c r="I409" s="104">
        <v>0</v>
      </c>
      <c r="J409" s="102">
        <v>0</v>
      </c>
      <c r="K409" s="144">
        <f t="shared" si="79"/>
        <v>0</v>
      </c>
      <c r="L409" s="104">
        <v>0</v>
      </c>
      <c r="M409" s="103">
        <v>0</v>
      </c>
      <c r="N409" s="102">
        <f>SUM(K409:M409)</f>
        <v>0</v>
      </c>
      <c r="O409" s="104">
        <v>0</v>
      </c>
      <c r="P409" s="104">
        <v>0</v>
      </c>
      <c r="Q409" s="105">
        <f>63707.6</f>
        <v>63707.6</v>
      </c>
      <c r="R409" s="104">
        <v>0</v>
      </c>
      <c r="S409" s="173">
        <f t="shared" si="97"/>
        <v>63707.6</v>
      </c>
    </row>
    <row r="410" spans="1:20" ht="14.25" customHeight="1" thickBot="1" x14ac:dyDescent="0.3">
      <c r="A410" s="20" t="s">
        <v>256</v>
      </c>
      <c r="B410" s="45"/>
      <c r="C410" s="106">
        <v>40563.1</v>
      </c>
      <c r="D410" s="106">
        <v>0</v>
      </c>
      <c r="E410" s="107">
        <v>0</v>
      </c>
      <c r="F410" s="108">
        <f t="shared" si="98"/>
        <v>40563.1</v>
      </c>
      <c r="G410" s="106">
        <v>0</v>
      </c>
      <c r="H410" s="106">
        <f t="shared" si="96"/>
        <v>40563.1</v>
      </c>
      <c r="I410" s="106">
        <v>0</v>
      </c>
      <c r="J410" s="108">
        <v>0</v>
      </c>
      <c r="K410" s="228">
        <f>SUM(H410:J410)</f>
        <v>40563.1</v>
      </c>
      <c r="L410" s="106">
        <v>0</v>
      </c>
      <c r="M410" s="137">
        <v>0</v>
      </c>
      <c r="N410" s="108">
        <f t="shared" si="92"/>
        <v>40563.1</v>
      </c>
      <c r="O410" s="106">
        <v>0</v>
      </c>
      <c r="P410" s="106">
        <v>0</v>
      </c>
      <c r="Q410" s="107">
        <v>0</v>
      </c>
      <c r="R410" s="106">
        <v>0</v>
      </c>
      <c r="S410" s="182">
        <f t="shared" si="97"/>
        <v>40563.1</v>
      </c>
    </row>
    <row r="411" spans="1:20" ht="26.25" customHeight="1" thickBot="1" x14ac:dyDescent="0.3">
      <c r="A411" s="28" t="s">
        <v>257</v>
      </c>
      <c r="B411" s="76"/>
      <c r="C411" s="125">
        <f t="shared" ref="C411" si="99">SUM(C404:C410)</f>
        <v>55422.1</v>
      </c>
      <c r="D411" s="125">
        <f t="shared" ref="D411:J411" si="100">SUM(D404:D410)</f>
        <v>0</v>
      </c>
      <c r="E411" s="126">
        <f t="shared" si="100"/>
        <v>204</v>
      </c>
      <c r="F411" s="125">
        <f t="shared" si="100"/>
        <v>55626.1</v>
      </c>
      <c r="G411" s="125">
        <f t="shared" si="100"/>
        <v>0</v>
      </c>
      <c r="H411" s="125">
        <f>SUM(H404:H410)</f>
        <v>55626.1</v>
      </c>
      <c r="I411" s="125">
        <f t="shared" si="100"/>
        <v>0</v>
      </c>
      <c r="J411" s="125">
        <f t="shared" si="100"/>
        <v>0</v>
      </c>
      <c r="K411" s="147">
        <f t="shared" si="79"/>
        <v>55626.1</v>
      </c>
      <c r="L411" s="125">
        <f>SUM(L404:L410)</f>
        <v>0</v>
      </c>
      <c r="M411" s="126">
        <f>SUM(M404:M410)</f>
        <v>0</v>
      </c>
      <c r="N411" s="125">
        <f t="shared" si="92"/>
        <v>55626.1</v>
      </c>
      <c r="O411" s="125">
        <f>SUM(O404:O410)</f>
        <v>0</v>
      </c>
      <c r="P411" s="125">
        <f>SUM(P404:P410)</f>
        <v>0</v>
      </c>
      <c r="Q411" s="126">
        <f>SUM(Q404:Q410)</f>
        <v>582638.17000000004</v>
      </c>
      <c r="R411" s="125">
        <f>SUM(R404:R410)</f>
        <v>0</v>
      </c>
      <c r="S411" s="169">
        <f t="shared" si="97"/>
        <v>638264.27</v>
      </c>
      <c r="T411" s="122"/>
    </row>
    <row r="412" spans="1:20" ht="18.75" customHeight="1" thickBot="1" x14ac:dyDescent="0.3">
      <c r="A412" s="35" t="s">
        <v>258</v>
      </c>
      <c r="B412" s="77"/>
      <c r="C412" s="127">
        <f>C401+C411</f>
        <v>2141229.66</v>
      </c>
      <c r="D412" s="127">
        <f>SUM(D401+D411)</f>
        <v>1835.6200000000008</v>
      </c>
      <c r="E412" s="127">
        <f>SUM(E401+E411)</f>
        <v>272560.37</v>
      </c>
      <c r="F412" s="127">
        <f>SUM(C412:E412)</f>
        <v>2415625.6500000004</v>
      </c>
      <c r="G412" s="127">
        <f>SUM(G401+G411)</f>
        <v>60640.1</v>
      </c>
      <c r="H412" s="127">
        <f>SUM(H401+H411)</f>
        <v>2480268.79</v>
      </c>
      <c r="I412" s="127">
        <f>I401+I411</f>
        <v>48604</v>
      </c>
      <c r="J412" s="127">
        <f>SUM(J401+J411)</f>
        <v>33103.959999999992</v>
      </c>
      <c r="K412" s="148">
        <f>SUM(K401+K411)</f>
        <v>2562998.7200000002</v>
      </c>
      <c r="L412" s="127">
        <f>SUM(L401+L411)</f>
        <v>19006.660000000003</v>
      </c>
      <c r="M412" s="129">
        <f>SUM(M401+M411)</f>
        <v>2504.73</v>
      </c>
      <c r="N412" s="127">
        <f t="shared" si="92"/>
        <v>2584510.1100000003</v>
      </c>
      <c r="O412" s="127">
        <f>SUM(O401+O411)</f>
        <v>0</v>
      </c>
      <c r="P412" s="127">
        <f>SUM(P401+P411)</f>
        <v>7119.3099999999995</v>
      </c>
      <c r="Q412" s="129">
        <f>SUM(Q401+Q411)</f>
        <v>87268.349999999977</v>
      </c>
      <c r="R412" s="127">
        <f>SUM(R401+R411)</f>
        <v>393.09</v>
      </c>
      <c r="S412" s="170">
        <f t="shared" si="97"/>
        <v>2679290.8600000003</v>
      </c>
      <c r="T412" s="122"/>
    </row>
    <row r="413" spans="1:20" ht="12.75" customHeight="1" thickBot="1" x14ac:dyDescent="0.3">
      <c r="A413" s="224"/>
      <c r="B413" s="225"/>
      <c r="C413" s="226"/>
      <c r="D413" s="226"/>
      <c r="E413" s="190"/>
      <c r="F413" s="191"/>
      <c r="G413" s="191"/>
      <c r="H413" s="193"/>
      <c r="I413" s="193"/>
      <c r="J413" s="193"/>
      <c r="K413" s="192"/>
      <c r="L413" s="193"/>
      <c r="M413" s="194"/>
      <c r="N413" s="193"/>
      <c r="O413" s="193"/>
      <c r="P413" s="193"/>
      <c r="Q413" s="194"/>
      <c r="R413" s="193"/>
      <c r="S413" s="195"/>
    </row>
    <row r="414" spans="1:20" ht="29.25" customHeight="1" thickBot="1" x14ac:dyDescent="0.3">
      <c r="A414" s="28" t="s">
        <v>259</v>
      </c>
      <c r="B414" s="75"/>
      <c r="C414" s="30"/>
      <c r="D414" s="30"/>
      <c r="E414" s="86"/>
      <c r="F414" s="30"/>
      <c r="G414" s="30"/>
      <c r="H414" s="121"/>
      <c r="I414" s="121"/>
      <c r="J414" s="121"/>
      <c r="K414" s="146"/>
      <c r="L414" s="121"/>
      <c r="M414" s="178"/>
      <c r="N414" s="121"/>
      <c r="O414" s="121"/>
      <c r="P414" s="121"/>
      <c r="Q414" s="178"/>
      <c r="R414" s="121"/>
      <c r="S414" s="168"/>
    </row>
    <row r="415" spans="1:20" ht="25.5" customHeight="1" x14ac:dyDescent="0.25">
      <c r="A415" s="220" t="s">
        <v>260</v>
      </c>
      <c r="B415" s="221"/>
      <c r="C415" s="222">
        <v>0</v>
      </c>
      <c r="D415" s="222">
        <v>0</v>
      </c>
      <c r="E415" s="204">
        <v>0</v>
      </c>
      <c r="F415" s="205">
        <f>SUM(C415:E415)</f>
        <v>0</v>
      </c>
      <c r="G415" s="223">
        <v>0</v>
      </c>
      <c r="H415" s="206">
        <f>SUM(F415:G415)</f>
        <v>0</v>
      </c>
      <c r="I415" s="206">
        <f t="shared" ref="I415" si="101">SUM(G415:H415)</f>
        <v>0</v>
      </c>
      <c r="J415" s="206">
        <v>0</v>
      </c>
      <c r="K415" s="207">
        <f>SUM(H415:J415)</f>
        <v>0</v>
      </c>
      <c r="L415" s="206">
        <v>0</v>
      </c>
      <c r="M415" s="208">
        <v>0</v>
      </c>
      <c r="N415" s="206">
        <f t="shared" si="92"/>
        <v>0</v>
      </c>
      <c r="O415" s="206">
        <v>0</v>
      </c>
      <c r="P415" s="206">
        <v>0</v>
      </c>
      <c r="Q415" s="208">
        <v>0</v>
      </c>
      <c r="R415" s="206">
        <v>0</v>
      </c>
      <c r="S415" s="209">
        <f>SUM(N415:R415)</f>
        <v>0</v>
      </c>
    </row>
    <row r="416" spans="1:20" ht="30.75" thickBot="1" x14ac:dyDescent="0.3">
      <c r="A416" s="202" t="s">
        <v>261</v>
      </c>
      <c r="B416" s="211"/>
      <c r="C416" s="212">
        <f>SUM(C415)</f>
        <v>0</v>
      </c>
      <c r="D416" s="212">
        <f>SUM(D415)</f>
        <v>0</v>
      </c>
      <c r="E416" s="213">
        <f>SUM(E415)</f>
        <v>0</v>
      </c>
      <c r="F416" s="212">
        <f>SUM(C416:E416)</f>
        <v>0</v>
      </c>
      <c r="G416" s="214">
        <v>0</v>
      </c>
      <c r="H416" s="215">
        <f>SUM(F416:G416)</f>
        <v>0</v>
      </c>
      <c r="I416" s="215">
        <f t="shared" ref="I416" si="102">SUM(G416:H416)</f>
        <v>0</v>
      </c>
      <c r="J416" s="215">
        <v>0</v>
      </c>
      <c r="K416" s="216">
        <f t="shared" ref="K416" si="103">SUM(H416:J416)</f>
        <v>0</v>
      </c>
      <c r="L416" s="215">
        <v>0</v>
      </c>
      <c r="M416" s="217">
        <v>0</v>
      </c>
      <c r="N416" s="218">
        <f t="shared" si="92"/>
        <v>0</v>
      </c>
      <c r="O416" s="218">
        <v>0</v>
      </c>
      <c r="P416" s="218">
        <v>0</v>
      </c>
      <c r="Q416" s="219">
        <v>0</v>
      </c>
      <c r="R416" s="218">
        <v>0</v>
      </c>
      <c r="S416" s="203">
        <f>SUM(N416:R416)</f>
        <v>0</v>
      </c>
    </row>
    <row r="417" spans="1:7" ht="9" customHeight="1" x14ac:dyDescent="0.25"/>
    <row r="418" spans="1:7" ht="11.25" customHeight="1" x14ac:dyDescent="0.25">
      <c r="A418" s="78"/>
      <c r="B418" s="78"/>
      <c r="C418" s="78"/>
      <c r="D418" s="78"/>
      <c r="E418" s="78"/>
      <c r="F418" s="78"/>
      <c r="G418" s="78"/>
    </row>
    <row r="419" spans="1:7" hidden="1" x14ac:dyDescent="0.25">
      <c r="A419" s="78"/>
      <c r="B419" s="78"/>
      <c r="C419" s="78"/>
      <c r="D419" s="78"/>
      <c r="E419" s="78"/>
      <c r="F419" s="78"/>
      <c r="G419" s="78"/>
    </row>
  </sheetData>
  <sheetProtection algorithmName="SHA-512" hashValue="ZRUSBiRPxGuFIkRYknEs3wOoSQDGwLzCxERssq5E0BHO4R90tbBXNOMTOMcRcxElT4GlwkW6GBwXeC1RQCQvjQ==" saltValue="YpAJKnzejVoJanl6y/lvUA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2024 po 5. změně a po RO RM č. 1 - 174 
&amp;"-,Obyčejné"Zpracovala: Mgr. Andrea Oháňková, FO
&amp;RStrana &amp;P
celkem 23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5.ZR a RORM 1-174</vt:lpstr>
      <vt:lpstr>'ZU 2024 po 5.ZR a RORM 1-174'!Názvy_tisku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2024-12-16T09:13:40Z</cp:lastPrinted>
  <dcterms:created xsi:type="dcterms:W3CDTF">2024-01-31T13:47:41Z</dcterms:created>
  <dcterms:modified xsi:type="dcterms:W3CDTF">2024-12-18T11:23:23Z</dcterms:modified>
</cp:coreProperties>
</file>